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monwareham/Documents/CRED Trustees/Finances/2022/Reporting/"/>
    </mc:Choice>
  </mc:AlternateContent>
  <xr:revisionPtr revIDLastSave="0" documentId="13_ncr:1_{7763976A-2D9A-9A44-9E35-DA8F628DF55A}" xr6:coauthVersionLast="47" xr6:coauthVersionMax="47" xr10:uidLastSave="{00000000-0000-0000-0000-000000000000}"/>
  <bookViews>
    <workbookView xWindow="20" yWindow="500" windowWidth="51200" windowHeight="28300" xr2:uid="{3A2B975B-0561-D84A-857C-DC115BF6DEA4}"/>
  </bookViews>
  <sheets>
    <sheet name="P&amp;L Projection 22 and 23" sheetId="4" r:id="rId1"/>
    <sheet name="All Funds Profit and Loss" sheetId="6" r:id="rId2"/>
    <sheet name="P&amp;L Monthly 1-4-21 to 31-3-22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4" l="1"/>
  <c r="P21" i="4"/>
  <c r="P23" i="4"/>
  <c r="AK15" i="6"/>
  <c r="AL15" i="6"/>
  <c r="AM15" i="6"/>
  <c r="AK16" i="6"/>
  <c r="AL16" i="6"/>
  <c r="AM16" i="6"/>
  <c r="AK17" i="6"/>
  <c r="AL17" i="6"/>
  <c r="AM17" i="6"/>
  <c r="AK18" i="6"/>
  <c r="AL18" i="6"/>
  <c r="AM18" i="6"/>
  <c r="AK19" i="6"/>
  <c r="AL19" i="6"/>
  <c r="AM19" i="6"/>
  <c r="AK20" i="6"/>
  <c r="AL20" i="6"/>
  <c r="AM20" i="6"/>
  <c r="AK21" i="6"/>
  <c r="AL21" i="6"/>
  <c r="AM21" i="6"/>
  <c r="AK22" i="6"/>
  <c r="AL22" i="6"/>
  <c r="AM22" i="6"/>
  <c r="AK23" i="6"/>
  <c r="AL23" i="6"/>
  <c r="AM23" i="6"/>
  <c r="AK24" i="6"/>
  <c r="AL24" i="6"/>
  <c r="AM24" i="6"/>
  <c r="AK25" i="6"/>
  <c r="AL25" i="6"/>
  <c r="AM25" i="6"/>
  <c r="AK26" i="6"/>
  <c r="AL26" i="6"/>
  <c r="AM26" i="6"/>
  <c r="AK27" i="6"/>
  <c r="AL27" i="6"/>
  <c r="AM27" i="6"/>
  <c r="AK28" i="6"/>
  <c r="AL28" i="6"/>
  <c r="AM28" i="6"/>
  <c r="O37" i="4"/>
  <c r="O29" i="4"/>
  <c r="O28" i="4"/>
  <c r="O27" i="4"/>
  <c r="O24" i="4"/>
  <c r="O23" i="4"/>
  <c r="O22" i="4"/>
  <c r="O21" i="4"/>
  <c r="O20" i="4"/>
  <c r="O19" i="4"/>
  <c r="O18" i="4"/>
  <c r="O16" i="4"/>
  <c r="O9" i="4"/>
  <c r="O8" i="4"/>
  <c r="J29" i="4"/>
  <c r="J31" i="4" s="1"/>
  <c r="J33" i="4" s="1"/>
  <c r="J35" i="4" s="1"/>
  <c r="K29" i="4"/>
  <c r="K31" i="4" s="1"/>
  <c r="K33" i="4" s="1"/>
  <c r="K35" i="4" s="1"/>
  <c r="L29" i="4"/>
  <c r="L31" i="4" s="1"/>
  <c r="L33" i="4" s="1"/>
  <c r="L35" i="4" s="1"/>
  <c r="J10" i="4"/>
  <c r="K10" i="4"/>
  <c r="L10" i="4"/>
  <c r="J12" i="4"/>
  <c r="K12" i="4"/>
  <c r="L12" i="4"/>
  <c r="M10" i="8"/>
  <c r="L10" i="8"/>
  <c r="K10" i="8"/>
  <c r="K12" i="8" s="1"/>
  <c r="J10" i="8"/>
  <c r="J12" i="8" s="1"/>
  <c r="I10" i="8"/>
  <c r="I12" i="8" s="1"/>
  <c r="I31" i="8" s="1"/>
  <c r="I33" i="8" s="1"/>
  <c r="I35" i="8" s="1"/>
  <c r="H10" i="8"/>
  <c r="H12" i="8" s="1"/>
  <c r="H31" i="8" s="1"/>
  <c r="H33" i="8" s="1"/>
  <c r="H35" i="8" s="1"/>
  <c r="G10" i="8"/>
  <c r="F10" i="8"/>
  <c r="E10" i="8"/>
  <c r="E12" i="8" s="1"/>
  <c r="D10" i="8"/>
  <c r="C10" i="8"/>
  <c r="C12" i="8" s="1"/>
  <c r="C31" i="8" s="1"/>
  <c r="C33" i="8" s="1"/>
  <c r="C35" i="8" s="1"/>
  <c r="B10" i="8"/>
  <c r="B12" i="8" s="1"/>
  <c r="B31" i="8" s="1"/>
  <c r="B33" i="8" s="1"/>
  <c r="B35" i="8" s="1"/>
  <c r="M12" i="8"/>
  <c r="L12" i="8"/>
  <c r="G12" i="8"/>
  <c r="F12" i="8"/>
  <c r="F31" i="8" s="1"/>
  <c r="F33" i="8" s="1"/>
  <c r="F35" i="8" s="1"/>
  <c r="D12" i="8"/>
  <c r="D31" i="8" s="1"/>
  <c r="D33" i="8" s="1"/>
  <c r="D35" i="8" s="1"/>
  <c r="M29" i="8"/>
  <c r="L29" i="8"/>
  <c r="L31" i="8" s="1"/>
  <c r="L33" i="8" s="1"/>
  <c r="L35" i="8" s="1"/>
  <c r="K29" i="8"/>
  <c r="J29" i="8"/>
  <c r="I29" i="8"/>
  <c r="H29" i="8"/>
  <c r="G29" i="8"/>
  <c r="F29" i="8"/>
  <c r="E29" i="8"/>
  <c r="D29" i="8"/>
  <c r="C29" i="8"/>
  <c r="B29" i="8"/>
  <c r="M31" i="8"/>
  <c r="M33" i="8" s="1"/>
  <c r="M35" i="8" s="1"/>
  <c r="AK41" i="6"/>
  <c r="J31" i="8" l="1"/>
  <c r="J33" i="8" s="1"/>
  <c r="J35" i="8" s="1"/>
  <c r="G31" i="8"/>
  <c r="G33" i="8" s="1"/>
  <c r="G35" i="8" s="1"/>
  <c r="E31" i="8"/>
  <c r="E33" i="8" s="1"/>
  <c r="E35" i="8" s="1"/>
  <c r="K31" i="8"/>
  <c r="K33" i="8" s="1"/>
  <c r="K35" i="8" s="1"/>
  <c r="AJ36" i="6"/>
  <c r="AI36" i="6"/>
  <c r="AH36" i="6"/>
  <c r="AG36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O12" i="6"/>
  <c r="O31" i="6" s="1"/>
  <c r="O38" i="6" s="1"/>
  <c r="O40" i="6" s="1"/>
  <c r="O42" i="6" s="1"/>
  <c r="AJ10" i="6"/>
  <c r="AJ12" i="6" s="1"/>
  <c r="AI10" i="6"/>
  <c r="AI12" i="6" s="1"/>
  <c r="AH10" i="6"/>
  <c r="AH12" i="6" s="1"/>
  <c r="AG10" i="6"/>
  <c r="AG12" i="6" s="1"/>
  <c r="AF10" i="6"/>
  <c r="AF12" i="6" s="1"/>
  <c r="AE10" i="6"/>
  <c r="AE12" i="6" s="1"/>
  <c r="AD10" i="6"/>
  <c r="AD12" i="6" s="1"/>
  <c r="AC10" i="6"/>
  <c r="AC12" i="6" s="1"/>
  <c r="AB10" i="6"/>
  <c r="AB12" i="6" s="1"/>
  <c r="AB31" i="6" s="1"/>
  <c r="AA10" i="6"/>
  <c r="AA12" i="6" s="1"/>
  <c r="Z10" i="6"/>
  <c r="Z12" i="6" s="1"/>
  <c r="Y10" i="6"/>
  <c r="Y12" i="6" s="1"/>
  <c r="X10" i="6"/>
  <c r="X12" i="6" s="1"/>
  <c r="W10" i="6"/>
  <c r="W12" i="6" s="1"/>
  <c r="V10" i="6"/>
  <c r="V12" i="6" s="1"/>
  <c r="V31" i="6" s="1"/>
  <c r="U10" i="6"/>
  <c r="U12" i="6" s="1"/>
  <c r="U31" i="6" s="1"/>
  <c r="T10" i="6"/>
  <c r="T12" i="6" s="1"/>
  <c r="S10" i="6"/>
  <c r="S12" i="6" s="1"/>
  <c r="R10" i="6"/>
  <c r="R12" i="6" s="1"/>
  <c r="Q10" i="6"/>
  <c r="Q12" i="6" s="1"/>
  <c r="P10" i="6"/>
  <c r="P12" i="6" s="1"/>
  <c r="P31" i="6" s="1"/>
  <c r="O10" i="6"/>
  <c r="N10" i="6"/>
  <c r="N12" i="6" s="1"/>
  <c r="N31" i="6" s="1"/>
  <c r="M10" i="6"/>
  <c r="M12" i="6" s="1"/>
  <c r="L10" i="6"/>
  <c r="L12" i="6" s="1"/>
  <c r="K10" i="6"/>
  <c r="K12" i="6" s="1"/>
  <c r="J10" i="6"/>
  <c r="J12" i="6" s="1"/>
  <c r="J31" i="6" s="1"/>
  <c r="I10" i="6"/>
  <c r="I12" i="6" s="1"/>
  <c r="I31" i="6" s="1"/>
  <c r="H10" i="6"/>
  <c r="H12" i="6" s="1"/>
  <c r="H31" i="6" s="1"/>
  <c r="G10" i="6"/>
  <c r="G12" i="6" s="1"/>
  <c r="F10" i="6"/>
  <c r="F12" i="6" s="1"/>
  <c r="E10" i="6"/>
  <c r="E12" i="6" s="1"/>
  <c r="D10" i="6"/>
  <c r="D12" i="6" s="1"/>
  <c r="C10" i="6"/>
  <c r="C12" i="6" s="1"/>
  <c r="B10" i="6"/>
  <c r="B12" i="6" s="1"/>
  <c r="N20" i="4"/>
  <c r="C29" i="4"/>
  <c r="D29" i="4"/>
  <c r="E29" i="4"/>
  <c r="F29" i="4"/>
  <c r="G29" i="4"/>
  <c r="H29" i="4"/>
  <c r="I29" i="4"/>
  <c r="M29" i="4"/>
  <c r="B29" i="4"/>
  <c r="G10" i="4"/>
  <c r="G12" i="4" s="1"/>
  <c r="H10" i="4"/>
  <c r="H12" i="4" s="1"/>
  <c r="I10" i="4"/>
  <c r="I12" i="4" s="1"/>
  <c r="N15" i="4"/>
  <c r="M10" i="4"/>
  <c r="M12" i="4" s="1"/>
  <c r="N37" i="4"/>
  <c r="AK34" i="6"/>
  <c r="AK36" i="6" s="1"/>
  <c r="AK9" i="6"/>
  <c r="AK8" i="6"/>
  <c r="AM36" i="6"/>
  <c r="AL36" i="6"/>
  <c r="N28" i="4"/>
  <c r="N27" i="4"/>
  <c r="N26" i="4"/>
  <c r="N25" i="4"/>
  <c r="N24" i="4"/>
  <c r="N23" i="4"/>
  <c r="N22" i="4"/>
  <c r="N21" i="4"/>
  <c r="N19" i="4"/>
  <c r="N18" i="4"/>
  <c r="N17" i="4"/>
  <c r="O17" i="4" s="1"/>
  <c r="N16" i="4"/>
  <c r="N9" i="4"/>
  <c r="AL9" i="6" s="1"/>
  <c r="N8" i="4"/>
  <c r="AL8" i="6" s="1"/>
  <c r="F10" i="4"/>
  <c r="F12" i="4" s="1"/>
  <c r="E10" i="4"/>
  <c r="E12" i="4" s="1"/>
  <c r="D10" i="4"/>
  <c r="D12" i="4" s="1"/>
  <c r="C10" i="4"/>
  <c r="C12" i="4" s="1"/>
  <c r="B10" i="4"/>
  <c r="B12" i="4" s="1"/>
  <c r="H38" i="6" l="1"/>
  <c r="H40" i="6" s="1"/>
  <c r="H42" i="6" s="1"/>
  <c r="N38" i="6"/>
  <c r="N40" i="6" s="1"/>
  <c r="N42" i="6" s="1"/>
  <c r="I38" i="6"/>
  <c r="I40" i="6" s="1"/>
  <c r="I42" i="6" s="1"/>
  <c r="J38" i="6"/>
  <c r="J40" i="6" s="1"/>
  <c r="J42" i="6" s="1"/>
  <c r="AB38" i="6"/>
  <c r="AB40" i="6" s="1"/>
  <c r="AB42" i="6" s="1"/>
  <c r="U38" i="6"/>
  <c r="U40" i="6" s="1"/>
  <c r="U42" i="6" s="1"/>
  <c r="P38" i="6"/>
  <c r="P40" i="6" s="1"/>
  <c r="P42" i="6" s="1"/>
  <c r="V38" i="6"/>
  <c r="V40" i="6" s="1"/>
  <c r="V42" i="6" s="1"/>
  <c r="M31" i="4"/>
  <c r="M33" i="4" s="1"/>
  <c r="M35" i="4" s="1"/>
  <c r="I31" i="4"/>
  <c r="I33" i="4" s="1"/>
  <c r="I35" i="4" s="1"/>
  <c r="P27" i="4"/>
  <c r="P8" i="4"/>
  <c r="N29" i="4"/>
  <c r="P28" i="4"/>
  <c r="P9" i="4"/>
  <c r="O15" i="4"/>
  <c r="P15" i="4" s="1"/>
  <c r="H31" i="4"/>
  <c r="H33" i="4" s="1"/>
  <c r="H35" i="4" s="1"/>
  <c r="O25" i="4"/>
  <c r="P25" i="4" s="1"/>
  <c r="G31" i="4"/>
  <c r="G33" i="4" s="1"/>
  <c r="G35" i="4" s="1"/>
  <c r="P18" i="4"/>
  <c r="P24" i="4"/>
  <c r="O26" i="4"/>
  <c r="P26" i="4" s="1"/>
  <c r="F31" i="6"/>
  <c r="F38" i="6" s="1"/>
  <c r="F40" i="6" s="1"/>
  <c r="F42" i="6" s="1"/>
  <c r="L31" i="6"/>
  <c r="L38" i="6" s="1"/>
  <c r="L40" i="6" s="1"/>
  <c r="L42" i="6" s="1"/>
  <c r="R31" i="6"/>
  <c r="R38" i="6" s="1"/>
  <c r="R40" i="6" s="1"/>
  <c r="R42" i="6" s="1"/>
  <c r="X31" i="6"/>
  <c r="X38" i="6" s="1"/>
  <c r="X40" i="6" s="1"/>
  <c r="X42" i="6" s="1"/>
  <c r="AD31" i="6"/>
  <c r="AD38" i="6" s="1"/>
  <c r="AD40" i="6" s="1"/>
  <c r="AD42" i="6" s="1"/>
  <c r="AJ31" i="6"/>
  <c r="AJ38" i="6" s="1"/>
  <c r="AJ40" i="6" s="1"/>
  <c r="AJ42" i="6" s="1"/>
  <c r="B31" i="6"/>
  <c r="T31" i="6"/>
  <c r="T38" i="6" s="1"/>
  <c r="T40" i="6" s="1"/>
  <c r="T42" i="6" s="1"/>
  <c r="AF31" i="6"/>
  <c r="AF38" i="6" s="1"/>
  <c r="AF40" i="6" s="1"/>
  <c r="AF42" i="6" s="1"/>
  <c r="AA31" i="6"/>
  <c r="AA38" i="6" s="1"/>
  <c r="AA40" i="6" s="1"/>
  <c r="AA42" i="6" s="1"/>
  <c r="D31" i="6"/>
  <c r="D38" i="6" s="1"/>
  <c r="AH31" i="6"/>
  <c r="AH38" i="6" s="1"/>
  <c r="AH40" i="6" s="1"/>
  <c r="AH42" i="6" s="1"/>
  <c r="Z31" i="6"/>
  <c r="Z38" i="6" s="1"/>
  <c r="Z40" i="6" s="1"/>
  <c r="Z42" i="6" s="1"/>
  <c r="C31" i="6"/>
  <c r="C38" i="6" s="1"/>
  <c r="AG31" i="6"/>
  <c r="AG38" i="6" s="1"/>
  <c r="AG40" i="6" s="1"/>
  <c r="AG42" i="6" s="1"/>
  <c r="E31" i="6"/>
  <c r="E38" i="6" s="1"/>
  <c r="E40" i="6" s="1"/>
  <c r="K31" i="6"/>
  <c r="K38" i="6" s="1"/>
  <c r="K40" i="6" s="1"/>
  <c r="K42" i="6" s="1"/>
  <c r="Q31" i="6"/>
  <c r="Q38" i="6" s="1"/>
  <c r="Q40" i="6" s="1"/>
  <c r="Q42" i="6" s="1"/>
  <c r="W31" i="6"/>
  <c r="W38" i="6" s="1"/>
  <c r="W40" i="6" s="1"/>
  <c r="W42" i="6" s="1"/>
  <c r="AC31" i="6"/>
  <c r="AC38" i="6" s="1"/>
  <c r="AC40" i="6" s="1"/>
  <c r="AC42" i="6" s="1"/>
  <c r="AI31" i="6"/>
  <c r="AI38" i="6" s="1"/>
  <c r="AI40" i="6" s="1"/>
  <c r="AI42" i="6" s="1"/>
  <c r="G31" i="6"/>
  <c r="G38" i="6" s="1"/>
  <c r="G40" i="6" s="1"/>
  <c r="G42" i="6" s="1"/>
  <c r="Y31" i="6"/>
  <c r="Y38" i="6" s="1"/>
  <c r="Y40" i="6" s="1"/>
  <c r="Y42" i="6" s="1"/>
  <c r="AE31" i="6"/>
  <c r="AE38" i="6" s="1"/>
  <c r="AE40" i="6" s="1"/>
  <c r="AE42" i="6" s="1"/>
  <c r="B38" i="6"/>
  <c r="M31" i="6"/>
  <c r="M38" i="6" s="1"/>
  <c r="M40" i="6" s="1"/>
  <c r="M42" i="6" s="1"/>
  <c r="S31" i="6"/>
  <c r="S38" i="6" s="1"/>
  <c r="S40" i="6" s="1"/>
  <c r="S42" i="6" s="1"/>
  <c r="P22" i="4"/>
  <c r="N10" i="4"/>
  <c r="N12" i="4" s="1"/>
  <c r="P19" i="4"/>
  <c r="B31" i="4"/>
  <c r="B33" i="4" s="1"/>
  <c r="B35" i="4" s="1"/>
  <c r="P17" i="4"/>
  <c r="AK10" i="6"/>
  <c r="AK12" i="6" s="1"/>
  <c r="AM8" i="6"/>
  <c r="AM9" i="6"/>
  <c r="AL10" i="6"/>
  <c r="AL12" i="6" s="1"/>
  <c r="C31" i="4"/>
  <c r="C33" i="4" s="1"/>
  <c r="C35" i="4" s="1"/>
  <c r="D31" i="4"/>
  <c r="D33" i="4" s="1"/>
  <c r="D35" i="4" s="1"/>
  <c r="E31" i="4"/>
  <c r="E33" i="4" s="1"/>
  <c r="E35" i="4" s="1"/>
  <c r="F31" i="4"/>
  <c r="F33" i="4" s="1"/>
  <c r="F35" i="4" s="1"/>
  <c r="N38" i="4" l="1"/>
  <c r="O38" i="4" s="1"/>
  <c r="P38" i="4" s="1"/>
  <c r="AK40" i="6"/>
  <c r="AK42" i="6" s="1"/>
  <c r="E42" i="6"/>
  <c r="AK29" i="6"/>
  <c r="AK31" i="6" s="1"/>
  <c r="AK38" i="6" s="1"/>
  <c r="N39" i="4"/>
  <c r="O39" i="4" s="1"/>
  <c r="P37" i="4" s="1"/>
  <c r="P39" i="4" s="1"/>
  <c r="P10" i="4"/>
  <c r="P12" i="4" s="1"/>
  <c r="N31" i="4"/>
  <c r="N33" i="4" s="1"/>
  <c r="N35" i="4" s="1"/>
  <c r="O10" i="4"/>
  <c r="O12" i="4" s="1"/>
  <c r="AL29" i="6"/>
  <c r="AL31" i="6" s="1"/>
  <c r="AL38" i="6" s="1"/>
  <c r="AL40" i="6" s="1"/>
  <c r="P16" i="4"/>
  <c r="P29" i="4" s="1"/>
  <c r="AM29" i="6"/>
  <c r="AM10" i="6"/>
  <c r="AM12" i="6" s="1"/>
  <c r="P31" i="4" l="1"/>
  <c r="P33" i="4" s="1"/>
  <c r="P35" i="4" s="1"/>
  <c r="O31" i="4"/>
  <c r="O33" i="4" s="1"/>
  <c r="O35" i="4" s="1"/>
  <c r="AM31" i="6"/>
  <c r="AM38" i="6" s="1"/>
  <c r="AM40" i="6" s="1"/>
</calcChain>
</file>

<file path=xl/sharedStrings.xml><?xml version="1.0" encoding="utf-8"?>
<sst xmlns="http://schemas.openxmlformats.org/spreadsheetml/2006/main" count="176" uniqueCount="112">
  <si>
    <t>Profit and Loss</t>
  </si>
  <si>
    <t>CRED Foundation</t>
  </si>
  <si>
    <t>Account</t>
  </si>
  <si>
    <t>Jul 2021</t>
  </si>
  <si>
    <t>Jun 2021</t>
  </si>
  <si>
    <t>May 2021</t>
  </si>
  <si>
    <t>Apr 2021</t>
  </si>
  <si>
    <t>Turnover</t>
  </si>
  <si>
    <t>232 - General donations</t>
  </si>
  <si>
    <t>238 - Gift Aid tax recovered</t>
  </si>
  <si>
    <t>Total Turnover</t>
  </si>
  <si>
    <t>Gross Profit</t>
  </si>
  <si>
    <t>Administrative Costs</t>
  </si>
  <si>
    <t>416 - Bank Service Charges</t>
  </si>
  <si>
    <t>428 - Professional Fees: Communication &amp; Operations</t>
  </si>
  <si>
    <t>446 - Donation Service Provider Charg</t>
  </si>
  <si>
    <t>466 - Travel &amp; Ent: Flights (CRED)</t>
  </si>
  <si>
    <t>480 - Gifts and Donations</t>
  </si>
  <si>
    <t>481 - Helen Support (20-22)</t>
  </si>
  <si>
    <t>492 - Supplies: ICT</t>
  </si>
  <si>
    <t>496 - Insurance</t>
  </si>
  <si>
    <t>502 - Internet/website</t>
  </si>
  <si>
    <t>520 - Miscellaneous</t>
  </si>
  <si>
    <t>580 - Telephone</t>
  </si>
  <si>
    <t>Total Administrative Costs</t>
  </si>
  <si>
    <t>Operating Profit</t>
  </si>
  <si>
    <t>Profit on Ordinary Activities Before Taxation</t>
  </si>
  <si>
    <t>Profit after Taxation</t>
  </si>
  <si>
    <t>Core: General</t>
  </si>
  <si>
    <t>Core: Helen Support</t>
  </si>
  <si>
    <t>COVID-19</t>
  </si>
  <si>
    <t>Acholi Mercy Scouts</t>
  </si>
  <si>
    <t>AHISDO</t>
  </si>
  <si>
    <t>Berhan Lehatsanet</t>
  </si>
  <si>
    <t>CBISDO (Edu)</t>
  </si>
  <si>
    <t>Chisomo</t>
  </si>
  <si>
    <t>Dance Africa: General</t>
  </si>
  <si>
    <t>Dance Africa: Edu</t>
  </si>
  <si>
    <t>Dance Africa: Tangley Trust</t>
  </si>
  <si>
    <t>eWAR</t>
  </si>
  <si>
    <t>FIAM: General</t>
  </si>
  <si>
    <t>FIAM: School</t>
  </si>
  <si>
    <t>FIAM: Child Spons</t>
  </si>
  <si>
    <t>GNPDR: General</t>
  </si>
  <si>
    <t>GNPDR: Catch Up School</t>
  </si>
  <si>
    <t>GNPDR: Street Child Edu</t>
  </si>
  <si>
    <t>ILA</t>
  </si>
  <si>
    <t>Malawi: General</t>
  </si>
  <si>
    <t>Malawi: Mildred</t>
  </si>
  <si>
    <t>Malawi: Stepping Stones</t>
  </si>
  <si>
    <t>Nkuru-Nziza: General</t>
  </si>
  <si>
    <t>Nkuru-Nziza: Edu</t>
  </si>
  <si>
    <t>Nkuru-Nziza: Harriet</t>
  </si>
  <si>
    <t>Nkuru-Nziza: Denis</t>
  </si>
  <si>
    <t>Nkuru-Nziza: Irene</t>
  </si>
  <si>
    <t>Nkuru-Nziza: Rita's Boys</t>
  </si>
  <si>
    <t>PSD (inc Bhimsen)</t>
  </si>
  <si>
    <t>Spurgeons: General</t>
  </si>
  <si>
    <t>Spurgeons: Teacher Top Up</t>
  </si>
  <si>
    <t>VST (General)</t>
  </si>
  <si>
    <t>VST (Guernsey)</t>
  </si>
  <si>
    <t>Other Income</t>
  </si>
  <si>
    <t>334 - Transfer between Funds: Management Fee</t>
  </si>
  <si>
    <t>Total Other Income</t>
  </si>
  <si>
    <t>440 - Professional Fees: CRB Check</t>
  </si>
  <si>
    <t>Aug 2021</t>
  </si>
  <si>
    <t>Sep 2021</t>
  </si>
  <si>
    <t>Gross up to Year end 2022</t>
  </si>
  <si>
    <t>Projection for Year end 2023</t>
  </si>
  <si>
    <t>Commentary</t>
  </si>
  <si>
    <t>All Funds: Profit and Loss</t>
  </si>
  <si>
    <t>Total all pots</t>
  </si>
  <si>
    <t>Difference</t>
  </si>
  <si>
    <t>FIAM (Business)</t>
  </si>
  <si>
    <t>FIAM (Prabhu)</t>
  </si>
  <si>
    <t>Opening unrestricted reserves</t>
  </si>
  <si>
    <t>Unrestricted surplus/(deficit)</t>
  </si>
  <si>
    <t>Closing unrestricted reserves</t>
  </si>
  <si>
    <t>Paid for year 2021/22 already renewal takes place near end of June each year - 5% for 2022/23 year might be optimistic - difficult to tell.</t>
  </si>
  <si>
    <t>This number is greater that the surplus (Profit Before Taxation) above due to the transfer of the management fee currently at 15% - these projections are based on that basis for the purposes of this exercise.</t>
  </si>
  <si>
    <t>Notes:</t>
  </si>
  <si>
    <t>Adjusted to remove debtors and creditors figures for analysis purposes</t>
  </si>
  <si>
    <t>402 - Professional Fees: Accounting</t>
  </si>
  <si>
    <t>Oct 2021</t>
  </si>
  <si>
    <t>Nov 2021</t>
  </si>
  <si>
    <t>Dec 2021</t>
  </si>
  <si>
    <t>450 - Travel: partner visit expenses</t>
  </si>
  <si>
    <t>340 - Transfer between Funds</t>
  </si>
  <si>
    <t>1.  Net movement in Restricted reserves in first 9 months is a reduction of £2,435.49</t>
  </si>
  <si>
    <t>Movement in restricted reserves</t>
  </si>
  <si>
    <t>Restricted reserves opening balance 1/4/2021</t>
  </si>
  <si>
    <t>Restricted reserves closing balance 31/12/201</t>
  </si>
  <si>
    <t>2. The net restricted reserves figure at the end of December 2021 was approximately £53,000</t>
  </si>
  <si>
    <t>Jan 2022</t>
  </si>
  <si>
    <t>Feb 2022</t>
  </si>
  <si>
    <t>Mar 2022</t>
  </si>
  <si>
    <t>For the month ended 31 March 2022</t>
  </si>
  <si>
    <t>12 Months YTD</t>
  </si>
  <si>
    <t>For the 12 months ended 31 March 2022</t>
  </si>
  <si>
    <t>First 12 Months P&amp;L per Xero</t>
  </si>
  <si>
    <r>
      <rPr>
        <b/>
        <sz val="8"/>
        <rFont val="Arial"/>
        <family val="2"/>
      </rPr>
      <t>General principles applied:</t>
    </r>
    <r>
      <rPr>
        <sz val="8"/>
        <rFont val="Arial"/>
        <family val="2"/>
      </rPr>
      <t xml:space="preserve">
1.Growth from year end 2022 to year end 2023 (31/3/23) is a genral increase across all line of 5%.  It takes no account of any additional partners (eg. F4M) raising additional income.</t>
    </r>
  </si>
  <si>
    <t>1.  Currently £2,027.50 of income via Stewardship is unallocated so not included in these figures at present.
Minor reconciliation matter re £30 between Total Pots and the Xero P&amp;L.</t>
  </si>
  <si>
    <t>This figure is dependent upon the income received through line 232 above.</t>
  </si>
  <si>
    <t>This is the honorarium paid quarterly to Rozzie.</t>
  </si>
  <si>
    <t>Projected figure for next year is up 5% however, following discussions with the accountants this may not go up for 2021/2022 year end.</t>
  </si>
  <si>
    <t>446 - Donation Service Provider Charge</t>
  </si>
  <si>
    <t>Only one Gift Aid claim has been made in the year, representing the last 4 months of the previous financial year.  So there will be a significant claim to be made for the whole of the 2021/2022 financial year, this needs to be made shortly, but will come into the 2023 projection figures - currently not yet allowed for.</t>
  </si>
  <si>
    <t>This figure is currently understated as there are outstanding payments due covered by the unreconciled income outlined above figure should be £3,000.</t>
  </si>
  <si>
    <t>The projected costs do not included any expenses to cover the CRED conference in June 2022</t>
  </si>
  <si>
    <t>Starting to incur costs on this line as Helen's travelling has resumed.  Projections have been ramped up accordingly.</t>
  </si>
  <si>
    <t>This cost has started to pick up as Helen's travelling has resumed.  Projections have been ramped up accordingly.</t>
  </si>
  <si>
    <t>Closing balance in CAF Cash on 31/3/22 was £111,627.05 - the Unrestricted Reserves of £54.3K plus Restricted reserves of approximatley £55.9K equals £110.2K.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</si>
</sst>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(#,##0.00\)"/>
  </numFmts>
  <fonts count="17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</font>
    <font>
      <b/>
      <sz val="8"/>
      <name val="Arial"/>
    </font>
    <font>
      <sz val="8"/>
      <name val="Arial"/>
    </font>
    <font>
      <b/>
      <sz val="10"/>
      <name val="Arial"/>
    </font>
    <font>
      <sz val="14"/>
      <name val="Arial"/>
    </font>
    <font>
      <b/>
      <sz val="20"/>
      <name val="Arial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EBEBEB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rgb="FFEBEBEB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77">
    <xf numFmtId="0" fontId="0" fillId="0" borderId="0" xfId="0"/>
    <xf numFmtId="0" fontId="1" fillId="0" borderId="0" xfId="1"/>
    <xf numFmtId="164" fontId="8" fillId="0" borderId="2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vertical="center"/>
    </xf>
    <xf numFmtId="164" fontId="3" fillId="0" borderId="2" xfId="1" applyNumberFormat="1" applyFont="1" applyBorder="1" applyAlignment="1">
      <alignment horizontal="right" vertical="center"/>
    </xf>
    <xf numFmtId="164" fontId="3" fillId="2" borderId="3" xfId="1" applyNumberFormat="1" applyFont="1" applyFill="1" applyBorder="1" applyAlignment="1">
      <alignment horizontal="right" vertical="center"/>
    </xf>
    <xf numFmtId="0" fontId="3" fillId="0" borderId="1" xfId="1" applyFont="1" applyBorder="1" applyAlignment="1">
      <alignment horizontal="right" vertical="center" wrapText="1"/>
    </xf>
    <xf numFmtId="0" fontId="10" fillId="0" borderId="0" xfId="2"/>
    <xf numFmtId="164" fontId="11" fillId="2" borderId="3" xfId="2" applyNumberFormat="1" applyFont="1" applyFill="1" applyBorder="1" applyAlignment="1">
      <alignment horizontal="right" vertical="center"/>
    </xf>
    <xf numFmtId="164" fontId="11" fillId="0" borderId="2" xfId="2" applyNumberFormat="1" applyFont="1" applyBorder="1" applyAlignment="1">
      <alignment horizontal="right" vertical="center"/>
    </xf>
    <xf numFmtId="164" fontId="12" fillId="0" borderId="2" xfId="2" applyNumberFormat="1" applyFont="1" applyBorder="1" applyAlignment="1">
      <alignment horizontal="right" vertical="center"/>
    </xf>
    <xf numFmtId="0" fontId="13" fillId="0" borderId="1" xfId="2" applyFont="1" applyBorder="1" applyAlignment="1">
      <alignment vertical="center"/>
    </xf>
    <xf numFmtId="0" fontId="7" fillId="4" borderId="1" xfId="2" applyFont="1" applyFill="1" applyBorder="1" applyAlignment="1">
      <alignment vertical="center"/>
    </xf>
    <xf numFmtId="164" fontId="9" fillId="4" borderId="2" xfId="2" applyNumberFormat="1" applyFont="1" applyFill="1" applyBorder="1" applyAlignment="1">
      <alignment horizontal="right" vertical="center"/>
    </xf>
    <xf numFmtId="164" fontId="4" fillId="4" borderId="2" xfId="2" applyNumberFormat="1" applyFont="1" applyFill="1" applyBorder="1" applyAlignment="1">
      <alignment horizontal="right" vertical="center"/>
    </xf>
    <xf numFmtId="164" fontId="4" fillId="4" borderId="3" xfId="2" applyNumberFormat="1" applyFont="1" applyFill="1" applyBorder="1" applyAlignment="1">
      <alignment horizontal="right" vertical="center"/>
    </xf>
    <xf numFmtId="0" fontId="7" fillId="3" borderId="1" xfId="2" applyFont="1" applyFill="1" applyBorder="1" applyAlignment="1">
      <alignment vertical="center"/>
    </xf>
    <xf numFmtId="164" fontId="9" fillId="3" borderId="2" xfId="2" applyNumberFormat="1" applyFont="1" applyFill="1" applyBorder="1" applyAlignment="1">
      <alignment horizontal="right" vertical="center"/>
    </xf>
    <xf numFmtId="164" fontId="4" fillId="3" borderId="2" xfId="2" applyNumberFormat="1" applyFont="1" applyFill="1" applyBorder="1" applyAlignment="1">
      <alignment horizontal="right" vertical="center"/>
    </xf>
    <xf numFmtId="164" fontId="4" fillId="3" borderId="3" xfId="2" applyNumberFormat="1" applyFont="1" applyFill="1" applyBorder="1" applyAlignment="1">
      <alignment horizontal="right" vertical="center"/>
    </xf>
    <xf numFmtId="0" fontId="6" fillId="0" borderId="1" xfId="1" applyFont="1" applyBorder="1" applyAlignment="1">
      <alignment vertical="center"/>
    </xf>
    <xf numFmtId="164" fontId="12" fillId="0" borderId="2" xfId="0" applyNumberFormat="1" applyFont="1" applyBorder="1" applyAlignment="1">
      <alignment horizontal="right" vertical="center"/>
    </xf>
    <xf numFmtId="164" fontId="11" fillId="0" borderId="2" xfId="0" applyNumberFormat="1" applyFont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0" fontId="11" fillId="0" borderId="4" xfId="2" applyFont="1" applyBorder="1" applyAlignment="1">
      <alignment horizontal="left" vertical="center"/>
    </xf>
    <xf numFmtId="0" fontId="11" fillId="0" borderId="3" xfId="2" applyFont="1" applyBorder="1" applyAlignment="1">
      <alignment horizontal="right" vertical="center" wrapText="1"/>
    </xf>
    <xf numFmtId="0" fontId="4" fillId="4" borderId="3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  <xf numFmtId="0" fontId="3" fillId="0" borderId="5" xfId="2" applyFont="1" applyBorder="1" applyAlignment="1">
      <alignment horizontal="center" vertical="center" wrapText="1"/>
    </xf>
    <xf numFmtId="0" fontId="10" fillId="0" borderId="6" xfId="2" applyBorder="1"/>
    <xf numFmtId="0" fontId="10" fillId="0" borderId="0" xfId="2" applyBorder="1"/>
    <xf numFmtId="0" fontId="5" fillId="4" borderId="0" xfId="2" applyFont="1" applyFill="1" applyBorder="1"/>
    <xf numFmtId="0" fontId="5" fillId="3" borderId="0" xfId="2" applyFont="1" applyFill="1" applyBorder="1"/>
    <xf numFmtId="0" fontId="13" fillId="0" borderId="8" xfId="2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164" fontId="8" fillId="0" borderId="11" xfId="2" applyNumberFormat="1" applyFont="1" applyBorder="1" applyAlignment="1">
      <alignment vertical="center" wrapText="1"/>
    </xf>
    <xf numFmtId="0" fontId="12" fillId="0" borderId="10" xfId="2" applyFont="1" applyBorder="1" applyAlignment="1">
      <alignment vertical="center"/>
    </xf>
    <xf numFmtId="0" fontId="11" fillId="0" borderId="10" xfId="2" applyFont="1" applyBorder="1" applyAlignment="1">
      <alignment vertical="center"/>
    </xf>
    <xf numFmtId="164" fontId="11" fillId="0" borderId="11" xfId="2" applyNumberFormat="1" applyFont="1" applyBorder="1" applyAlignment="1">
      <alignment vertical="center" wrapText="1"/>
    </xf>
    <xf numFmtId="0" fontId="10" fillId="0" borderId="12" xfId="2" applyBorder="1" applyAlignment="1">
      <alignment vertical="center" wrapText="1"/>
    </xf>
    <xf numFmtId="0" fontId="11" fillId="2" borderId="4" xfId="2" applyFont="1" applyFill="1" applyBorder="1" applyAlignment="1">
      <alignment vertical="center"/>
    </xf>
    <xf numFmtId="164" fontId="11" fillId="2" borderId="5" xfId="2" applyNumberFormat="1" applyFont="1" applyFill="1" applyBorder="1" applyAlignment="1">
      <alignment vertical="center" wrapText="1"/>
    </xf>
    <xf numFmtId="0" fontId="13" fillId="0" borderId="13" xfId="2" applyFont="1" applyBorder="1" applyAlignment="1">
      <alignment vertical="center" wrapText="1"/>
    </xf>
    <xf numFmtId="164" fontId="12" fillId="0" borderId="11" xfId="2" applyNumberFormat="1" applyFont="1" applyBorder="1" applyAlignment="1">
      <alignment vertical="center" wrapText="1"/>
    </xf>
    <xf numFmtId="0" fontId="10" fillId="0" borderId="8" xfId="2" applyBorder="1"/>
    <xf numFmtId="0" fontId="10" fillId="0" borderId="1" xfId="2" applyBorder="1"/>
    <xf numFmtId="0" fontId="10" fillId="0" borderId="13" xfId="2" applyBorder="1"/>
    <xf numFmtId="0" fontId="8" fillId="0" borderId="0" xfId="1" applyFont="1"/>
    <xf numFmtId="164" fontId="8" fillId="2" borderId="5" xfId="2" applyNumberFormat="1" applyFont="1" applyFill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39" fontId="1" fillId="0" borderId="0" xfId="1" applyNumberFormat="1"/>
    <xf numFmtId="164" fontId="11" fillId="2" borderId="14" xfId="0" applyNumberFormat="1" applyFont="1" applyFill="1" applyBorder="1" applyAlignment="1">
      <alignment horizontal="right" vertical="center"/>
    </xf>
    <xf numFmtId="164" fontId="3" fillId="2" borderId="14" xfId="1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15" fillId="0" borderId="0" xfId="2" applyFont="1" applyAlignment="1">
      <alignment vertical="center" wrapText="1"/>
    </xf>
    <xf numFmtId="0" fontId="2" fillId="0" borderId="0" xfId="2" applyFont="1" applyAlignment="1">
      <alignment vertical="center" wrapText="1"/>
    </xf>
    <xf numFmtId="0" fontId="14" fillId="0" borderId="0" xfId="2" applyFont="1" applyAlignment="1">
      <alignment vertical="center" wrapText="1"/>
    </xf>
    <xf numFmtId="0" fontId="8" fillId="0" borderId="7" xfId="2" applyFont="1" applyBorder="1" applyAlignment="1">
      <alignment vertical="center" wrapText="1"/>
    </xf>
    <xf numFmtId="0" fontId="8" fillId="0" borderId="9" xfId="2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1" fillId="2" borderId="3" xfId="2" applyFont="1" applyFill="1" applyBorder="1" applyAlignment="1">
      <alignment vertical="center"/>
    </xf>
    <xf numFmtId="0" fontId="11" fillId="0" borderId="2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1" fillId="0" borderId="1" xfId="2" applyFont="1" applyBorder="1" applyAlignment="1">
      <alignment horizontal="right" vertical="center"/>
    </xf>
    <xf numFmtId="0" fontId="11" fillId="0" borderId="1" xfId="2" applyFont="1" applyBorder="1" applyAlignment="1">
      <alignment horizontal="left" vertical="center"/>
    </xf>
    <xf numFmtId="0" fontId="13" fillId="0" borderId="1" xfId="2" applyFont="1" applyBorder="1" applyAlignment="1">
      <alignment vertical="center" wrapText="1"/>
    </xf>
    <xf numFmtId="164" fontId="4" fillId="3" borderId="1" xfId="2" applyNumberFormat="1" applyFont="1" applyFill="1" applyBorder="1" applyAlignment="1">
      <alignment horizontal="right" vertical="center"/>
    </xf>
    <xf numFmtId="164" fontId="9" fillId="3" borderId="15" xfId="2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1" xr:uid="{C921D592-7F74-BE42-9039-6043C1F208D2}"/>
    <cellStyle name="Normal 3" xfId="2" xr:uid="{1E1E45CE-2FB1-3C46-A9AA-74F71395F9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3FA9C-A372-2642-B1E8-2611E6536DC2}">
  <sheetPr>
    <tabColor rgb="FF00B050"/>
  </sheetPr>
  <dimension ref="A1:Q40"/>
  <sheetViews>
    <sheetView showGridLines="0" tabSelected="1" zoomScale="150" zoomScaleNormal="150" workbookViewId="0">
      <selection activeCell="Q42" sqref="Q42"/>
    </sheetView>
  </sheetViews>
  <sheetFormatPr baseColWidth="10" defaultColWidth="8.83203125" defaultRowHeight="13" x14ac:dyDescent="0.15"/>
  <cols>
    <col min="1" max="1" width="40.1640625" style="7" customWidth="1"/>
    <col min="2" max="2" width="7.83203125" style="7" customWidth="1"/>
    <col min="3" max="16" width="8.83203125" style="7"/>
    <col min="17" max="17" width="65.83203125" style="7" customWidth="1"/>
    <col min="18" max="16384" width="8.83203125" style="7"/>
  </cols>
  <sheetData>
    <row r="1" spans="1:17" ht="25.5" customHeight="1" x14ac:dyDescent="0.15">
      <c r="A1" s="62" t="s">
        <v>0</v>
      </c>
      <c r="B1" s="62"/>
    </row>
    <row r="2" spans="1:17" ht="18" customHeight="1" x14ac:dyDescent="0.15">
      <c r="A2" s="64" t="s">
        <v>1</v>
      </c>
      <c r="B2" s="64"/>
    </row>
    <row r="3" spans="1:17" ht="18" customHeight="1" x14ac:dyDescent="0.15">
      <c r="A3" s="63" t="s">
        <v>98</v>
      </c>
      <c r="B3" s="64"/>
    </row>
    <row r="4" spans="1:17" ht="13.25" customHeight="1" x14ac:dyDescent="0.15"/>
    <row r="5" spans="1:17" ht="36" x14ac:dyDescent="0.15">
      <c r="A5" s="24" t="s">
        <v>2</v>
      </c>
      <c r="B5" s="61" t="s">
        <v>6</v>
      </c>
      <c r="C5" s="61" t="s">
        <v>5</v>
      </c>
      <c r="D5" s="61" t="s">
        <v>4</v>
      </c>
      <c r="E5" s="61" t="s">
        <v>3</v>
      </c>
      <c r="F5" s="61" t="s">
        <v>65</v>
      </c>
      <c r="G5" s="61" t="s">
        <v>66</v>
      </c>
      <c r="H5" s="61" t="s">
        <v>83</v>
      </c>
      <c r="I5" s="61" t="s">
        <v>84</v>
      </c>
      <c r="J5" s="61" t="s">
        <v>85</v>
      </c>
      <c r="K5" s="61" t="s">
        <v>93</v>
      </c>
      <c r="L5" s="61" t="s">
        <v>94</v>
      </c>
      <c r="M5" s="61" t="s">
        <v>95</v>
      </c>
      <c r="N5" s="25" t="s">
        <v>97</v>
      </c>
      <c r="O5" s="26" t="s">
        <v>67</v>
      </c>
      <c r="P5" s="27" t="s">
        <v>68</v>
      </c>
      <c r="Q5" s="28" t="s">
        <v>69</v>
      </c>
    </row>
    <row r="6" spans="1:17" ht="13.25" customHeight="1" x14ac:dyDescent="0.15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1"/>
      <c r="P6" s="32"/>
      <c r="Q6" s="65" t="s">
        <v>100</v>
      </c>
    </row>
    <row r="7" spans="1:17" ht="34" customHeight="1" x14ac:dyDescent="0.15">
      <c r="A7" s="33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6"/>
      <c r="Q7" s="66"/>
    </row>
    <row r="8" spans="1:17" ht="24" customHeight="1" x14ac:dyDescent="0.15">
      <c r="A8" s="34" t="s">
        <v>8</v>
      </c>
      <c r="B8" s="21">
        <v>14036.15</v>
      </c>
      <c r="C8" s="21">
        <v>17856.669999999998</v>
      </c>
      <c r="D8" s="21">
        <v>9084.59</v>
      </c>
      <c r="E8" s="21">
        <v>13053.81</v>
      </c>
      <c r="F8" s="21">
        <v>2905.6</v>
      </c>
      <c r="G8" s="21">
        <v>4576.5200000000004</v>
      </c>
      <c r="H8" s="21">
        <v>13002.99</v>
      </c>
      <c r="I8" s="21">
        <v>3372</v>
      </c>
      <c r="J8" s="21">
        <v>12081.82</v>
      </c>
      <c r="K8" s="21">
        <v>10161.11</v>
      </c>
      <c r="L8" s="21">
        <v>7975.26</v>
      </c>
      <c r="M8" s="21">
        <v>5026.1099999999997</v>
      </c>
      <c r="N8" s="10">
        <f>SUM(B8:M8)</f>
        <v>113132.62999999999</v>
      </c>
      <c r="O8" s="13">
        <f>ROUND((N8/12)*12,2)</f>
        <v>113132.63</v>
      </c>
      <c r="P8" s="17">
        <f>ROUND(O8+(O8*0.05),0)</f>
        <v>118789</v>
      </c>
      <c r="Q8" s="35" t="s">
        <v>101</v>
      </c>
    </row>
    <row r="9" spans="1:17" ht="48" customHeight="1" x14ac:dyDescent="0.15">
      <c r="A9" s="36" t="s">
        <v>9</v>
      </c>
      <c r="B9" s="21">
        <v>0</v>
      </c>
      <c r="C9" s="21">
        <v>6073.97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10">
        <f>SUM(B9:M9)</f>
        <v>6073.97</v>
      </c>
      <c r="O9" s="13">
        <f>ROUND((N9/12)*12,2)</f>
        <v>6073.97</v>
      </c>
      <c r="P9" s="17">
        <f>ROUND(O9+(O9*0.05),0)</f>
        <v>6378</v>
      </c>
      <c r="Q9" s="35" t="s">
        <v>106</v>
      </c>
    </row>
    <row r="10" spans="1:17" ht="24" customHeight="1" x14ac:dyDescent="0.15">
      <c r="A10" s="37" t="s">
        <v>10</v>
      </c>
      <c r="B10" s="9">
        <f t="shared" ref="B10:P10" si="0">SUM(B8:B9)</f>
        <v>14036.15</v>
      </c>
      <c r="C10" s="9">
        <f t="shared" si="0"/>
        <v>23930.639999999999</v>
      </c>
      <c r="D10" s="9">
        <f t="shared" si="0"/>
        <v>9084.59</v>
      </c>
      <c r="E10" s="9">
        <f t="shared" si="0"/>
        <v>13053.81</v>
      </c>
      <c r="F10" s="9">
        <f t="shared" si="0"/>
        <v>2905.6</v>
      </c>
      <c r="G10" s="9">
        <f t="shared" ref="G10:I10" si="1">SUM(G8:G9)</f>
        <v>4576.5200000000004</v>
      </c>
      <c r="H10" s="9">
        <f t="shared" si="1"/>
        <v>13002.99</v>
      </c>
      <c r="I10" s="9">
        <f t="shared" si="1"/>
        <v>3372</v>
      </c>
      <c r="J10" s="9">
        <f t="shared" ref="J10:L10" si="2">SUM(J8:J9)</f>
        <v>12081.82</v>
      </c>
      <c r="K10" s="9">
        <f t="shared" si="2"/>
        <v>10161.11</v>
      </c>
      <c r="L10" s="9">
        <f t="shared" si="2"/>
        <v>7975.26</v>
      </c>
      <c r="M10" s="9">
        <f t="shared" si="0"/>
        <v>5026.1099999999997</v>
      </c>
      <c r="N10" s="9">
        <f t="shared" si="0"/>
        <v>119206.59999999999</v>
      </c>
      <c r="O10" s="14">
        <f t="shared" si="0"/>
        <v>119206.6</v>
      </c>
      <c r="P10" s="18">
        <f t="shared" si="0"/>
        <v>125167</v>
      </c>
      <c r="Q10" s="38"/>
    </row>
    <row r="11" spans="1:17" ht="12" customHeight="1" x14ac:dyDescent="0.15">
      <c r="A11" s="29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  <c r="P11" s="32"/>
      <c r="Q11" s="39"/>
    </row>
    <row r="12" spans="1:17" ht="24" customHeight="1" x14ac:dyDescent="0.15">
      <c r="A12" s="40" t="s">
        <v>11</v>
      </c>
      <c r="B12" s="8">
        <f t="shared" ref="B12:P12" si="3">(B10 - 0)</f>
        <v>14036.15</v>
      </c>
      <c r="C12" s="8">
        <f t="shared" si="3"/>
        <v>23930.639999999999</v>
      </c>
      <c r="D12" s="8">
        <f t="shared" si="3"/>
        <v>9084.59</v>
      </c>
      <c r="E12" s="8">
        <f t="shared" si="3"/>
        <v>13053.81</v>
      </c>
      <c r="F12" s="8">
        <f t="shared" si="3"/>
        <v>2905.6</v>
      </c>
      <c r="G12" s="8">
        <f t="shared" ref="G12:I12" si="4">(G10 - 0)</f>
        <v>4576.5200000000004</v>
      </c>
      <c r="H12" s="8">
        <f t="shared" si="4"/>
        <v>13002.99</v>
      </c>
      <c r="I12" s="8">
        <f t="shared" si="4"/>
        <v>3372</v>
      </c>
      <c r="J12" s="8">
        <f t="shared" ref="J12:L12" si="5">(J10 - 0)</f>
        <v>12081.82</v>
      </c>
      <c r="K12" s="8">
        <f t="shared" si="5"/>
        <v>10161.11</v>
      </c>
      <c r="L12" s="8">
        <f t="shared" si="5"/>
        <v>7975.26</v>
      </c>
      <c r="M12" s="8">
        <f t="shared" si="3"/>
        <v>5026.1099999999997</v>
      </c>
      <c r="N12" s="8">
        <f t="shared" si="3"/>
        <v>119206.59999999999</v>
      </c>
      <c r="O12" s="15">
        <f t="shared" si="3"/>
        <v>119206.6</v>
      </c>
      <c r="P12" s="19">
        <f t="shared" si="3"/>
        <v>125167</v>
      </c>
      <c r="Q12" s="41"/>
    </row>
    <row r="13" spans="1:17" ht="12" customHeight="1" x14ac:dyDescent="0.15">
      <c r="A13" s="29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32"/>
      <c r="Q13" s="39"/>
    </row>
    <row r="14" spans="1:17" ht="24" customHeight="1" x14ac:dyDescent="0.15">
      <c r="A14" s="33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/>
      <c r="P14" s="16"/>
      <c r="Q14" s="42"/>
    </row>
    <row r="15" spans="1:17" ht="24" customHeight="1" x14ac:dyDescent="0.15">
      <c r="A15" s="36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1440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ref="N15:N28" si="6">SUM(B15:M15)</f>
        <v>1440</v>
      </c>
      <c r="O15" s="13">
        <f>ROUND((N15/12)*12,2)</f>
        <v>1440</v>
      </c>
      <c r="P15" s="17">
        <f t="shared" ref="P15:P28" si="7">ROUND(O15+(O15*0.05),0)</f>
        <v>1512</v>
      </c>
      <c r="Q15" s="35" t="s">
        <v>104</v>
      </c>
    </row>
    <row r="16" spans="1:17" ht="24" customHeight="1" x14ac:dyDescent="0.15">
      <c r="A16" s="36" t="s">
        <v>13</v>
      </c>
      <c r="B16" s="10">
        <v>8</v>
      </c>
      <c r="C16" s="10">
        <v>38</v>
      </c>
      <c r="D16" s="10">
        <v>8</v>
      </c>
      <c r="E16" s="10">
        <v>8</v>
      </c>
      <c r="F16" s="10">
        <v>8</v>
      </c>
      <c r="G16" s="10">
        <v>8</v>
      </c>
      <c r="H16" s="10">
        <v>8</v>
      </c>
      <c r="I16" s="10">
        <v>8</v>
      </c>
      <c r="J16" s="10">
        <v>8</v>
      </c>
      <c r="K16" s="10">
        <v>8</v>
      </c>
      <c r="L16" s="10">
        <v>8</v>
      </c>
      <c r="M16" s="10">
        <v>8</v>
      </c>
      <c r="N16" s="10">
        <f t="shared" si="6"/>
        <v>126</v>
      </c>
      <c r="O16" s="13">
        <f>ROUND((N16/12)*12,2)</f>
        <v>126</v>
      </c>
      <c r="P16" s="17">
        <f t="shared" si="7"/>
        <v>132</v>
      </c>
      <c r="Q16" s="43"/>
    </row>
    <row r="17" spans="1:17" ht="24" customHeight="1" x14ac:dyDescent="0.15">
      <c r="A17" s="36" t="s">
        <v>14</v>
      </c>
      <c r="B17" s="10">
        <v>0</v>
      </c>
      <c r="C17" s="10">
        <v>48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f t="shared" si="6"/>
        <v>48</v>
      </c>
      <c r="O17" s="13">
        <f>ROUND((N17/12)*12,2)</f>
        <v>48</v>
      </c>
      <c r="P17" s="17">
        <f t="shared" si="7"/>
        <v>50</v>
      </c>
      <c r="Q17" s="43"/>
    </row>
    <row r="18" spans="1:17" ht="24" customHeight="1" x14ac:dyDescent="0.15">
      <c r="A18" s="36" t="s">
        <v>64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0.3</v>
      </c>
      <c r="K18" s="10">
        <v>0</v>
      </c>
      <c r="L18" s="10">
        <v>0</v>
      </c>
      <c r="M18" s="10">
        <v>0</v>
      </c>
      <c r="N18" s="10">
        <f t="shared" si="6"/>
        <v>0.3</v>
      </c>
      <c r="O18" s="13">
        <f>ROUND((N18/12)*12,2)</f>
        <v>0.3</v>
      </c>
      <c r="P18" s="17">
        <f t="shared" si="7"/>
        <v>0</v>
      </c>
      <c r="Q18" s="43"/>
    </row>
    <row r="19" spans="1:17" ht="24" customHeight="1" x14ac:dyDescent="0.15">
      <c r="A19" s="34" t="s">
        <v>105</v>
      </c>
      <c r="B19" s="10">
        <v>8.34</v>
      </c>
      <c r="C19" s="10">
        <v>19.41</v>
      </c>
      <c r="D19" s="10">
        <v>14.05</v>
      </c>
      <c r="E19" s="10">
        <v>13.62</v>
      </c>
      <c r="F19" s="10">
        <v>4.38</v>
      </c>
      <c r="G19" s="10">
        <v>5.2</v>
      </c>
      <c r="H19" s="10">
        <v>11.36</v>
      </c>
      <c r="I19" s="10">
        <v>3.76</v>
      </c>
      <c r="J19" s="10">
        <v>32.22</v>
      </c>
      <c r="K19" s="10">
        <v>17.510000000000002</v>
      </c>
      <c r="L19" s="10">
        <v>8.15</v>
      </c>
      <c r="M19" s="10">
        <v>14.24</v>
      </c>
      <c r="N19" s="10">
        <f t="shared" si="6"/>
        <v>152.24</v>
      </c>
      <c r="O19" s="13">
        <f>ROUND((N19/12)*12,2)</f>
        <v>152.24</v>
      </c>
      <c r="P19" s="17">
        <f t="shared" si="7"/>
        <v>160</v>
      </c>
      <c r="Q19" s="43"/>
    </row>
    <row r="20" spans="1:17" ht="24" customHeight="1" x14ac:dyDescent="0.15">
      <c r="A20" s="36" t="s">
        <v>86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876.01</v>
      </c>
      <c r="K20" s="10">
        <v>0</v>
      </c>
      <c r="L20" s="10">
        <v>0</v>
      </c>
      <c r="M20" s="10">
        <v>0</v>
      </c>
      <c r="N20" s="10">
        <f t="shared" si="6"/>
        <v>876.01</v>
      </c>
      <c r="O20" s="13">
        <f>ROUND((N20/12)*12,2)</f>
        <v>876.01</v>
      </c>
      <c r="P20" s="17">
        <f>ROUND(O20+(O20*4),0)</f>
        <v>4380</v>
      </c>
      <c r="Q20" s="35" t="s">
        <v>109</v>
      </c>
    </row>
    <row r="21" spans="1:17" ht="24" customHeight="1" x14ac:dyDescent="0.15">
      <c r="A21" s="36" t="s">
        <v>16</v>
      </c>
      <c r="B21" s="10">
        <v>0</v>
      </c>
      <c r="C21" s="10">
        <v>881.21</v>
      </c>
      <c r="D21" s="10">
        <v>0</v>
      </c>
      <c r="E21" s="10">
        <v>-714.42</v>
      </c>
      <c r="F21" s="10">
        <v>0</v>
      </c>
      <c r="G21" s="10">
        <v>0</v>
      </c>
      <c r="H21" s="10">
        <v>1251.08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f t="shared" si="6"/>
        <v>1417.87</v>
      </c>
      <c r="O21" s="13">
        <f>ROUND((N21/12)*12,2)</f>
        <v>1417.87</v>
      </c>
      <c r="P21" s="17">
        <f>ROUND((H21+N21)*2,0)</f>
        <v>5338</v>
      </c>
      <c r="Q21" s="35" t="s">
        <v>110</v>
      </c>
    </row>
    <row r="22" spans="1:17" ht="24" customHeight="1" x14ac:dyDescent="0.15">
      <c r="A22" s="36" t="s">
        <v>17</v>
      </c>
      <c r="B22" s="10">
        <v>2100.2399999999998</v>
      </c>
      <c r="C22" s="10">
        <v>3678.78</v>
      </c>
      <c r="D22" s="10">
        <v>25953.84</v>
      </c>
      <c r="E22" s="10">
        <v>14590</v>
      </c>
      <c r="F22" s="10">
        <v>3490</v>
      </c>
      <c r="G22" s="10">
        <v>6300</v>
      </c>
      <c r="H22" s="10">
        <v>3642.88</v>
      </c>
      <c r="I22" s="10">
        <v>10503.71</v>
      </c>
      <c r="J22" s="10">
        <v>9340.11</v>
      </c>
      <c r="K22" s="10">
        <v>10586.07</v>
      </c>
      <c r="L22" s="10">
        <v>1505.29</v>
      </c>
      <c r="M22" s="10">
        <v>9230.2099999999991</v>
      </c>
      <c r="N22" s="10">
        <f t="shared" si="6"/>
        <v>100921.13</v>
      </c>
      <c r="O22" s="13">
        <f>ROUND((N22/12)*12,2)</f>
        <v>100921.13</v>
      </c>
      <c r="P22" s="17">
        <f t="shared" si="7"/>
        <v>105967</v>
      </c>
      <c r="Q22" s="35" t="s">
        <v>102</v>
      </c>
    </row>
    <row r="23" spans="1:17" ht="24" customHeight="1" x14ac:dyDescent="0.15">
      <c r="A23" s="36" t="s">
        <v>18</v>
      </c>
      <c r="B23" s="10">
        <v>250</v>
      </c>
      <c r="C23" s="10">
        <v>0</v>
      </c>
      <c r="D23" s="10">
        <v>500</v>
      </c>
      <c r="E23" s="10">
        <v>250</v>
      </c>
      <c r="F23" s="10">
        <v>250</v>
      </c>
      <c r="G23" s="10">
        <v>250</v>
      </c>
      <c r="H23" s="10">
        <v>250</v>
      </c>
      <c r="I23" s="10">
        <v>250</v>
      </c>
      <c r="J23" s="10">
        <v>250</v>
      </c>
      <c r="K23" s="10">
        <v>0</v>
      </c>
      <c r="L23" s="10">
        <v>0</v>
      </c>
      <c r="M23" s="10">
        <v>0</v>
      </c>
      <c r="N23" s="10">
        <f t="shared" si="6"/>
        <v>2250</v>
      </c>
      <c r="O23" s="13">
        <f>ROUND((N23/12)*12,2)</f>
        <v>2250</v>
      </c>
      <c r="P23" s="17">
        <f>ROUND(O23+(O23*0),0)+750</f>
        <v>3000</v>
      </c>
      <c r="Q23" s="35" t="s">
        <v>107</v>
      </c>
    </row>
    <row r="24" spans="1:17" ht="24" customHeight="1" x14ac:dyDescent="0.15">
      <c r="A24" s="36" t="s">
        <v>19</v>
      </c>
      <c r="B24" s="10">
        <v>24</v>
      </c>
      <c r="C24" s="10">
        <v>12</v>
      </c>
      <c r="D24" s="10">
        <v>12</v>
      </c>
      <c r="E24" s="10">
        <v>28.8</v>
      </c>
      <c r="F24" s="10">
        <v>28.8</v>
      </c>
      <c r="G24" s="10">
        <v>28.8</v>
      </c>
      <c r="H24" s="10">
        <v>31.2</v>
      </c>
      <c r="I24" s="10">
        <v>31.2</v>
      </c>
      <c r="J24" s="10">
        <v>31.2</v>
      </c>
      <c r="K24" s="10">
        <v>31.2</v>
      </c>
      <c r="L24" s="10">
        <v>127.08</v>
      </c>
      <c r="M24" s="10">
        <v>31.2</v>
      </c>
      <c r="N24" s="10">
        <f t="shared" si="6"/>
        <v>417.47999999999996</v>
      </c>
      <c r="O24" s="13">
        <f>ROUND((N24/12)*12,2)</f>
        <v>417.48</v>
      </c>
      <c r="P24" s="17">
        <f t="shared" si="7"/>
        <v>438</v>
      </c>
      <c r="Q24" s="43"/>
    </row>
    <row r="25" spans="1:17" ht="24" customHeight="1" x14ac:dyDescent="0.15">
      <c r="A25" s="36" t="s">
        <v>20</v>
      </c>
      <c r="B25" s="10">
        <v>0</v>
      </c>
      <c r="C25" s="10">
        <v>0</v>
      </c>
      <c r="D25" s="10">
        <v>1011.36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f t="shared" si="6"/>
        <v>1011.36</v>
      </c>
      <c r="O25" s="13">
        <f>ROUND((N25/12)*12,2)</f>
        <v>1011.36</v>
      </c>
      <c r="P25" s="17">
        <f t="shared" si="7"/>
        <v>1062</v>
      </c>
      <c r="Q25" s="35" t="s">
        <v>78</v>
      </c>
    </row>
    <row r="26" spans="1:17" ht="24" customHeight="1" x14ac:dyDescent="0.15">
      <c r="A26" s="36" t="s">
        <v>21</v>
      </c>
      <c r="B26" s="10">
        <v>0</v>
      </c>
      <c r="C26" s="10">
        <v>84.77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f t="shared" si="6"/>
        <v>84.77</v>
      </c>
      <c r="O26" s="13">
        <f>ROUND((N26/12)*12,2)</f>
        <v>84.77</v>
      </c>
      <c r="P26" s="17">
        <f t="shared" si="7"/>
        <v>89</v>
      </c>
      <c r="Q26" s="43"/>
    </row>
    <row r="27" spans="1:17" ht="24" customHeight="1" x14ac:dyDescent="0.15">
      <c r="A27" s="36" t="s">
        <v>22</v>
      </c>
      <c r="B27" s="10">
        <v>125</v>
      </c>
      <c r="C27" s="10">
        <v>0</v>
      </c>
      <c r="D27" s="10">
        <v>0</v>
      </c>
      <c r="E27" s="10">
        <v>125</v>
      </c>
      <c r="F27" s="10">
        <v>0</v>
      </c>
      <c r="G27" s="10">
        <v>0</v>
      </c>
      <c r="H27" s="10">
        <v>125</v>
      </c>
      <c r="I27" s="10">
        <v>0</v>
      </c>
      <c r="J27" s="10">
        <v>0</v>
      </c>
      <c r="K27" s="10">
        <v>125</v>
      </c>
      <c r="L27" s="10">
        <v>0</v>
      </c>
      <c r="M27" s="10">
        <v>0</v>
      </c>
      <c r="N27" s="10">
        <f t="shared" si="6"/>
        <v>500</v>
      </c>
      <c r="O27" s="13">
        <f>ROUND((N27/12)*12,2)</f>
        <v>500</v>
      </c>
      <c r="P27" s="17">
        <f t="shared" si="7"/>
        <v>525</v>
      </c>
      <c r="Q27" s="43" t="s">
        <v>103</v>
      </c>
    </row>
    <row r="28" spans="1:17" ht="24" customHeight="1" x14ac:dyDescent="0.15">
      <c r="A28" s="36" t="s">
        <v>23</v>
      </c>
      <c r="B28" s="10">
        <v>2.4</v>
      </c>
      <c r="C28" s="10">
        <v>2.4</v>
      </c>
      <c r="D28" s="10">
        <v>2.4</v>
      </c>
      <c r="E28" s="10">
        <v>2.4</v>
      </c>
      <c r="F28" s="10">
        <v>2.4</v>
      </c>
      <c r="G28" s="10">
        <v>2.4</v>
      </c>
      <c r="H28" s="10">
        <v>2.4</v>
      </c>
      <c r="I28" s="10">
        <v>2.4</v>
      </c>
      <c r="J28" s="10">
        <v>2.4</v>
      </c>
      <c r="K28" s="10">
        <v>2.4</v>
      </c>
      <c r="L28" s="10">
        <v>0</v>
      </c>
      <c r="M28" s="10">
        <v>0</v>
      </c>
      <c r="N28" s="10">
        <f t="shared" si="6"/>
        <v>23.999999999999996</v>
      </c>
      <c r="O28" s="13">
        <f>ROUND((N28/12)*12,2)</f>
        <v>24</v>
      </c>
      <c r="P28" s="76">
        <f t="shared" si="7"/>
        <v>25</v>
      </c>
      <c r="Q28" s="43"/>
    </row>
    <row r="29" spans="1:17" ht="24" customHeight="1" x14ac:dyDescent="0.15">
      <c r="A29" s="37" t="s">
        <v>24</v>
      </c>
      <c r="B29" s="9">
        <f>SUM(B15:B28)</f>
        <v>2517.98</v>
      </c>
      <c r="C29" s="9">
        <f t="shared" ref="C29:O29" si="8">SUM(C15:C28)</f>
        <v>4764.5700000000006</v>
      </c>
      <c r="D29" s="9">
        <f t="shared" si="8"/>
        <v>27501.65</v>
      </c>
      <c r="E29" s="9">
        <f t="shared" si="8"/>
        <v>14303.4</v>
      </c>
      <c r="F29" s="9">
        <f t="shared" si="8"/>
        <v>5223.58</v>
      </c>
      <c r="G29" s="9">
        <f t="shared" si="8"/>
        <v>6594.4</v>
      </c>
      <c r="H29" s="9">
        <f t="shared" si="8"/>
        <v>5321.9199999999992</v>
      </c>
      <c r="I29" s="9">
        <f t="shared" si="8"/>
        <v>10799.07</v>
      </c>
      <c r="J29" s="9">
        <f t="shared" si="8"/>
        <v>10540.240000000002</v>
      </c>
      <c r="K29" s="9">
        <f t="shared" si="8"/>
        <v>10770.18</v>
      </c>
      <c r="L29" s="9">
        <f t="shared" si="8"/>
        <v>1648.52</v>
      </c>
      <c r="M29" s="9">
        <f t="shared" si="8"/>
        <v>9283.65</v>
      </c>
      <c r="N29" s="9">
        <f t="shared" si="8"/>
        <v>109269.16</v>
      </c>
      <c r="O29" s="15">
        <f t="shared" si="8"/>
        <v>109269.16</v>
      </c>
      <c r="P29" s="75">
        <f t="shared" ref="O29:P29" si="9">SUM(P16:P28)</f>
        <v>121166</v>
      </c>
      <c r="Q29" s="35" t="s">
        <v>108</v>
      </c>
    </row>
    <row r="30" spans="1:17" ht="12" customHeight="1" x14ac:dyDescent="0.1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1"/>
      <c r="P30" s="32"/>
      <c r="Q30" s="39"/>
    </row>
    <row r="31" spans="1:17" ht="24" customHeight="1" x14ac:dyDescent="0.15">
      <c r="A31" s="40" t="s">
        <v>25</v>
      </c>
      <c r="B31" s="8">
        <f>((B12 + 0) - (0 + B29))</f>
        <v>11518.17</v>
      </c>
      <c r="C31" s="8">
        <f>((C12 + 0) - (0 + C29))</f>
        <v>19166.07</v>
      </c>
      <c r="D31" s="8">
        <f>((D12 + 0) - (0 + D29))</f>
        <v>-18417.060000000001</v>
      </c>
      <c r="E31" s="8">
        <f>((E12 + 0) - (0 + E29))</f>
        <v>-1249.5900000000001</v>
      </c>
      <c r="F31" s="8">
        <f>((F12 + 0) - (0 + F29))</f>
        <v>-2317.98</v>
      </c>
      <c r="G31" s="8">
        <f t="shared" ref="G31:I31" si="10">((G12 + 0) - (0 + G29))</f>
        <v>-2017.8799999999992</v>
      </c>
      <c r="H31" s="8">
        <f t="shared" si="10"/>
        <v>7681.0700000000006</v>
      </c>
      <c r="I31" s="8">
        <f t="shared" si="10"/>
        <v>-7427.07</v>
      </c>
      <c r="J31" s="8">
        <f t="shared" ref="J31:L31" si="11">((J12 + 0) - (0 + J29))</f>
        <v>1541.5799999999981</v>
      </c>
      <c r="K31" s="8">
        <f t="shared" si="11"/>
        <v>-609.06999999999971</v>
      </c>
      <c r="L31" s="8">
        <f t="shared" si="11"/>
        <v>6326.74</v>
      </c>
      <c r="M31" s="8">
        <f>((M12 + 0) - (0 + M29))</f>
        <v>-4257.54</v>
      </c>
      <c r="N31" s="8">
        <f>((N12 + 0) - (0 + N29))</f>
        <v>9937.4399999999878</v>
      </c>
      <c r="O31" s="15">
        <f>((O12 + 0) - (0 + O29))</f>
        <v>9937.4400000000023</v>
      </c>
      <c r="P31" s="19">
        <f>((P12 + 0) - (0 + P29))</f>
        <v>4001</v>
      </c>
      <c r="Q31" s="41"/>
    </row>
    <row r="32" spans="1:17" ht="12" customHeight="1" x14ac:dyDescent="0.15">
      <c r="A32" s="29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1"/>
      <c r="P32" s="32"/>
      <c r="Q32" s="39"/>
    </row>
    <row r="33" spans="1:17" ht="24" customHeight="1" x14ac:dyDescent="0.15">
      <c r="A33" s="40" t="s">
        <v>26</v>
      </c>
      <c r="B33" s="8">
        <f t="shared" ref="B33:P33" si="12">(B31 + 0)</f>
        <v>11518.17</v>
      </c>
      <c r="C33" s="8">
        <f t="shared" si="12"/>
        <v>19166.07</v>
      </c>
      <c r="D33" s="8">
        <f t="shared" si="12"/>
        <v>-18417.060000000001</v>
      </c>
      <c r="E33" s="8">
        <f t="shared" si="12"/>
        <v>-1249.5900000000001</v>
      </c>
      <c r="F33" s="8">
        <f t="shared" si="12"/>
        <v>-2317.98</v>
      </c>
      <c r="G33" s="8">
        <f t="shared" ref="G33:I33" si="13">(G31 + 0)</f>
        <v>-2017.8799999999992</v>
      </c>
      <c r="H33" s="8">
        <f t="shared" si="13"/>
        <v>7681.0700000000006</v>
      </c>
      <c r="I33" s="8">
        <f t="shared" si="13"/>
        <v>-7427.07</v>
      </c>
      <c r="J33" s="8">
        <f t="shared" ref="J33:L33" si="14">(J31 + 0)</f>
        <v>1541.5799999999981</v>
      </c>
      <c r="K33" s="8">
        <f t="shared" si="14"/>
        <v>-609.06999999999971</v>
      </c>
      <c r="L33" s="8">
        <f t="shared" si="14"/>
        <v>6326.74</v>
      </c>
      <c r="M33" s="8">
        <f t="shared" si="12"/>
        <v>-4257.54</v>
      </c>
      <c r="N33" s="8">
        <f t="shared" si="12"/>
        <v>9937.4399999999878</v>
      </c>
      <c r="O33" s="15">
        <f t="shared" si="12"/>
        <v>9937.4400000000023</v>
      </c>
      <c r="P33" s="19">
        <f t="shared" si="12"/>
        <v>4001</v>
      </c>
      <c r="Q33" s="41"/>
    </row>
    <row r="34" spans="1:17" ht="12" customHeight="1" x14ac:dyDescent="0.15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1"/>
      <c r="P34" s="32"/>
      <c r="Q34" s="39"/>
    </row>
    <row r="35" spans="1:17" ht="24" customHeight="1" x14ac:dyDescent="0.15">
      <c r="A35" s="40" t="s">
        <v>27</v>
      </c>
      <c r="B35" s="8">
        <f t="shared" ref="B35:P35" si="15">(B33 - 0)</f>
        <v>11518.17</v>
      </c>
      <c r="C35" s="8">
        <f t="shared" si="15"/>
        <v>19166.07</v>
      </c>
      <c r="D35" s="8">
        <f t="shared" si="15"/>
        <v>-18417.060000000001</v>
      </c>
      <c r="E35" s="8">
        <f t="shared" si="15"/>
        <v>-1249.5900000000001</v>
      </c>
      <c r="F35" s="8">
        <f t="shared" si="15"/>
        <v>-2317.98</v>
      </c>
      <c r="G35" s="8">
        <f t="shared" ref="G35:I35" si="16">(G33 - 0)</f>
        <v>-2017.8799999999992</v>
      </c>
      <c r="H35" s="8">
        <f t="shared" si="16"/>
        <v>7681.0700000000006</v>
      </c>
      <c r="I35" s="8">
        <f t="shared" si="16"/>
        <v>-7427.07</v>
      </c>
      <c r="J35" s="8">
        <f t="shared" ref="J35:L35" si="17">(J33 - 0)</f>
        <v>1541.5799999999981</v>
      </c>
      <c r="K35" s="8">
        <f t="shared" si="17"/>
        <v>-609.06999999999971</v>
      </c>
      <c r="L35" s="8">
        <f t="shared" si="17"/>
        <v>6326.74</v>
      </c>
      <c r="M35" s="8">
        <f t="shared" si="15"/>
        <v>-4257.54</v>
      </c>
      <c r="N35" s="8">
        <f t="shared" si="15"/>
        <v>9937.4399999999878</v>
      </c>
      <c r="O35" s="15">
        <f t="shared" si="15"/>
        <v>9937.4400000000023</v>
      </c>
      <c r="P35" s="19">
        <f t="shared" si="15"/>
        <v>4001</v>
      </c>
      <c r="Q35" s="41"/>
    </row>
    <row r="36" spans="1:17" ht="12" customHeight="1" x14ac:dyDescent="0.1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9"/>
    </row>
    <row r="37" spans="1:17" ht="24" customHeight="1" x14ac:dyDescent="0.15">
      <c r="A37" s="40" t="s">
        <v>75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f>49523-6251+1269</f>
        <v>44541</v>
      </c>
      <c r="O37" s="15">
        <f>N37</f>
        <v>44541</v>
      </c>
      <c r="P37" s="19">
        <f>O39</f>
        <v>54337.22</v>
      </c>
      <c r="Q37" s="48" t="s">
        <v>81</v>
      </c>
    </row>
    <row r="38" spans="1:17" ht="24" customHeight="1" x14ac:dyDescent="0.15">
      <c r="A38" s="36" t="s">
        <v>76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>
        <f>'All Funds Profit and Loss'!B38+'All Funds Profit and Loss'!C38+'All Funds Profit and Loss'!D38</f>
        <v>9796.2199999999993</v>
      </c>
      <c r="O38" s="13">
        <f>N38</f>
        <v>9796.2199999999993</v>
      </c>
      <c r="P38" s="17">
        <f>O38+(O38*0.05)</f>
        <v>10286.030999999999</v>
      </c>
      <c r="Q38" s="35" t="s">
        <v>79</v>
      </c>
    </row>
    <row r="39" spans="1:17" ht="24" customHeight="1" x14ac:dyDescent="0.15">
      <c r="A39" s="40" t="s">
        <v>77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f>N37+N38</f>
        <v>54337.22</v>
      </c>
      <c r="O39" s="15">
        <f t="shared" ref="O39:P39" si="18">O37+O38</f>
        <v>54337.22</v>
      </c>
      <c r="P39" s="19">
        <f t="shared" si="18"/>
        <v>64623.251000000004</v>
      </c>
      <c r="Q39" s="48" t="s">
        <v>111</v>
      </c>
    </row>
    <row r="40" spans="1:17" x14ac:dyDescent="0.15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</row>
  </sheetData>
  <mergeCells count="4">
    <mergeCell ref="A1:B1"/>
    <mergeCell ref="A3:B3"/>
    <mergeCell ref="A2:B2"/>
    <mergeCell ref="Q6:Q7"/>
  </mergeCells>
  <phoneticPr fontId="16" type="noConversion"/>
  <pageMargins left="0.7" right="0.7" top="0.75" bottom="0.75" header="0.3" footer="0.3"/>
  <pageSetup paperSize="9" fitToWidth="0" fitToHeight="0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E2FF5-EACB-7943-A566-3722F45D5B1F}">
  <sheetPr>
    <tabColor rgb="FF0070C0"/>
  </sheetPr>
  <dimension ref="A1:AM46"/>
  <sheetViews>
    <sheetView showGridLines="0" zoomScale="150" zoomScaleNormal="150" workbookViewId="0">
      <pane xSplit="1" ySplit="5" topLeftCell="V6" activePane="bottomRight" state="frozen"/>
      <selection pane="topRight" activeCell="B1" sqref="B1"/>
      <selection pane="bottomLeft" activeCell="A6" sqref="A6"/>
      <selection pane="bottomRight" activeCell="AJ51" sqref="AJ51"/>
    </sheetView>
  </sheetViews>
  <sheetFormatPr baseColWidth="10" defaultColWidth="8.83203125" defaultRowHeight="13" x14ac:dyDescent="0.15"/>
  <cols>
    <col min="1" max="1" width="34" style="1" bestFit="1" customWidth="1"/>
    <col min="2" max="36" width="10.83203125" style="1" customWidth="1"/>
    <col min="37" max="37" width="9.1640625" style="1" bestFit="1" customWidth="1"/>
    <col min="38" max="16384" width="8.83203125" style="1"/>
  </cols>
  <sheetData>
    <row r="1" spans="1:39" ht="25.5" customHeight="1" x14ac:dyDescent="0.15">
      <c r="A1" s="67" t="s">
        <v>70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</row>
    <row r="2" spans="1:39" ht="18" customHeight="1" x14ac:dyDescent="0.1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39" ht="18" customHeight="1" x14ac:dyDescent="0.15">
      <c r="A3" s="68" t="s">
        <v>98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39" ht="13.25" customHeight="1" x14ac:dyDescent="0.15"/>
    <row r="5" spans="1:39" ht="36" x14ac:dyDescent="0.15">
      <c r="A5" s="50" t="s">
        <v>2</v>
      </c>
      <c r="B5" s="49" t="s">
        <v>28</v>
      </c>
      <c r="C5" s="49" t="s">
        <v>29</v>
      </c>
      <c r="D5" s="49" t="s">
        <v>30</v>
      </c>
      <c r="E5" s="49" t="s">
        <v>31</v>
      </c>
      <c r="F5" s="49" t="s">
        <v>32</v>
      </c>
      <c r="G5" s="49" t="s">
        <v>33</v>
      </c>
      <c r="H5" s="49" t="s">
        <v>34</v>
      </c>
      <c r="I5" s="49" t="s">
        <v>35</v>
      </c>
      <c r="J5" s="49" t="s">
        <v>36</v>
      </c>
      <c r="K5" s="49" t="s">
        <v>37</v>
      </c>
      <c r="L5" s="49" t="s">
        <v>38</v>
      </c>
      <c r="M5" s="49" t="s">
        <v>39</v>
      </c>
      <c r="N5" s="49" t="s">
        <v>40</v>
      </c>
      <c r="O5" s="49" t="s">
        <v>41</v>
      </c>
      <c r="P5" s="49" t="s">
        <v>42</v>
      </c>
      <c r="Q5" s="49" t="s">
        <v>73</v>
      </c>
      <c r="R5" s="49" t="s">
        <v>74</v>
      </c>
      <c r="S5" s="49" t="s">
        <v>43</v>
      </c>
      <c r="T5" s="49" t="s">
        <v>44</v>
      </c>
      <c r="U5" s="49" t="s">
        <v>45</v>
      </c>
      <c r="V5" s="49" t="s">
        <v>46</v>
      </c>
      <c r="W5" s="49" t="s">
        <v>47</v>
      </c>
      <c r="X5" s="49" t="s">
        <v>48</v>
      </c>
      <c r="Y5" s="49" t="s">
        <v>49</v>
      </c>
      <c r="Z5" s="49" t="s">
        <v>50</v>
      </c>
      <c r="AA5" s="49" t="s">
        <v>51</v>
      </c>
      <c r="AB5" s="49" t="s">
        <v>52</v>
      </c>
      <c r="AC5" s="49" t="s">
        <v>53</v>
      </c>
      <c r="AD5" s="49" t="s">
        <v>54</v>
      </c>
      <c r="AE5" s="49" t="s">
        <v>55</v>
      </c>
      <c r="AF5" s="49" t="s">
        <v>56</v>
      </c>
      <c r="AG5" s="49" t="s">
        <v>57</v>
      </c>
      <c r="AH5" s="49" t="s">
        <v>58</v>
      </c>
      <c r="AI5" s="49" t="s">
        <v>59</v>
      </c>
      <c r="AJ5" s="49" t="s">
        <v>60</v>
      </c>
      <c r="AK5" s="6" t="s">
        <v>71</v>
      </c>
      <c r="AL5" s="6" t="s">
        <v>99</v>
      </c>
      <c r="AM5" s="6" t="s">
        <v>72</v>
      </c>
    </row>
    <row r="6" spans="1:39" ht="13.25" customHeight="1" x14ac:dyDescent="0.2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9" ht="13" customHeight="1" x14ac:dyDescent="0.15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20"/>
      <c r="AL7" s="20"/>
      <c r="AM7" s="20"/>
    </row>
    <row r="8" spans="1:39" ht="10.5" customHeight="1" x14ac:dyDescent="0.15">
      <c r="A8" s="51" t="s">
        <v>8</v>
      </c>
      <c r="B8" s="21">
        <v>2152.4899999999998</v>
      </c>
      <c r="C8" s="21">
        <v>1750</v>
      </c>
      <c r="D8" s="21">
        <v>80</v>
      </c>
      <c r="E8" s="21">
        <v>714</v>
      </c>
      <c r="F8" s="21">
        <v>0</v>
      </c>
      <c r="G8" s="21">
        <v>0</v>
      </c>
      <c r="H8" s="21">
        <v>600</v>
      </c>
      <c r="I8" s="21">
        <v>2680</v>
      </c>
      <c r="J8" s="21">
        <v>0</v>
      </c>
      <c r="K8" s="21">
        <v>440</v>
      </c>
      <c r="L8" s="21">
        <v>0</v>
      </c>
      <c r="M8" s="21">
        <v>720</v>
      </c>
      <c r="N8" s="21">
        <v>48379.42</v>
      </c>
      <c r="O8" s="21">
        <v>4970</v>
      </c>
      <c r="P8" s="21">
        <v>2868</v>
      </c>
      <c r="Q8" s="21">
        <v>4563.6899999999996</v>
      </c>
      <c r="R8" s="21">
        <v>45.88</v>
      </c>
      <c r="S8" s="21">
        <v>3360</v>
      </c>
      <c r="T8" s="21">
        <v>4380</v>
      </c>
      <c r="U8" s="21">
        <v>0</v>
      </c>
      <c r="V8" s="21">
        <v>2862.35</v>
      </c>
      <c r="W8" s="21">
        <v>0</v>
      </c>
      <c r="X8" s="21">
        <v>1320</v>
      </c>
      <c r="Y8" s="21">
        <v>960</v>
      </c>
      <c r="Z8" s="21">
        <v>3230</v>
      </c>
      <c r="AA8" s="21">
        <v>7211.1</v>
      </c>
      <c r="AB8" s="21">
        <v>120</v>
      </c>
      <c r="AC8" s="21">
        <v>120</v>
      </c>
      <c r="AD8" s="21">
        <v>0</v>
      </c>
      <c r="AE8" s="21">
        <v>120</v>
      </c>
      <c r="AF8" s="21">
        <v>5525</v>
      </c>
      <c r="AG8" s="21">
        <v>12276.7</v>
      </c>
      <c r="AH8" s="21">
        <v>1714</v>
      </c>
      <c r="AI8" s="21">
        <v>0</v>
      </c>
      <c r="AJ8" s="21">
        <v>0</v>
      </c>
      <c r="AK8" s="2">
        <f>SUM(B8:AJ8)</f>
        <v>113162.63</v>
      </c>
      <c r="AL8" s="2">
        <f>'P&amp;L Projection 22 and 23'!N8</f>
        <v>113132.62999999999</v>
      </c>
      <c r="AM8" s="2">
        <f>AL8-AK8</f>
        <v>-30.000000000014552</v>
      </c>
    </row>
    <row r="9" spans="1:39" ht="10.5" customHeight="1" x14ac:dyDescent="0.15">
      <c r="A9" s="51" t="s">
        <v>9</v>
      </c>
      <c r="B9" s="21">
        <v>6073.97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1">
        <v>0</v>
      </c>
      <c r="AD9" s="21">
        <v>0</v>
      </c>
      <c r="AE9" s="21">
        <v>0</v>
      </c>
      <c r="AF9" s="21">
        <v>0</v>
      </c>
      <c r="AG9" s="21">
        <v>0</v>
      </c>
      <c r="AH9" s="21">
        <v>0</v>
      </c>
      <c r="AI9" s="21">
        <v>0</v>
      </c>
      <c r="AJ9" s="21">
        <v>0</v>
      </c>
      <c r="AK9" s="2">
        <f>SUM(B9:AJ9)</f>
        <v>6073.97</v>
      </c>
      <c r="AL9" s="2">
        <f>'P&amp;L Projection 22 and 23'!N9</f>
        <v>6073.97</v>
      </c>
      <c r="AM9" s="2">
        <f>AL9-AK9</f>
        <v>0</v>
      </c>
    </row>
    <row r="10" spans="1:39" ht="10.5" customHeight="1" x14ac:dyDescent="0.15">
      <c r="A10" s="52" t="s">
        <v>10</v>
      </c>
      <c r="B10" s="22">
        <f t="shared" ref="B10:AJ10" si="0">SUM(B8:B9)</f>
        <v>8226.4599999999991</v>
      </c>
      <c r="C10" s="22">
        <f t="shared" si="0"/>
        <v>1750</v>
      </c>
      <c r="D10" s="22">
        <f t="shared" si="0"/>
        <v>80</v>
      </c>
      <c r="E10" s="22">
        <f t="shared" si="0"/>
        <v>714</v>
      </c>
      <c r="F10" s="22">
        <f t="shared" si="0"/>
        <v>0</v>
      </c>
      <c r="G10" s="22">
        <f t="shared" si="0"/>
        <v>0</v>
      </c>
      <c r="H10" s="22">
        <f t="shared" si="0"/>
        <v>600</v>
      </c>
      <c r="I10" s="22">
        <f t="shared" si="0"/>
        <v>2680</v>
      </c>
      <c r="J10" s="22">
        <f t="shared" si="0"/>
        <v>0</v>
      </c>
      <c r="K10" s="22">
        <f t="shared" si="0"/>
        <v>440</v>
      </c>
      <c r="L10" s="22">
        <f t="shared" si="0"/>
        <v>0</v>
      </c>
      <c r="M10" s="22">
        <f t="shared" si="0"/>
        <v>720</v>
      </c>
      <c r="N10" s="22">
        <f t="shared" si="0"/>
        <v>48379.42</v>
      </c>
      <c r="O10" s="22">
        <f t="shared" si="0"/>
        <v>4970</v>
      </c>
      <c r="P10" s="22">
        <f t="shared" si="0"/>
        <v>2868</v>
      </c>
      <c r="Q10" s="22">
        <f t="shared" si="0"/>
        <v>4563.6899999999996</v>
      </c>
      <c r="R10" s="22">
        <f t="shared" si="0"/>
        <v>45.88</v>
      </c>
      <c r="S10" s="22">
        <f t="shared" si="0"/>
        <v>3360</v>
      </c>
      <c r="T10" s="22">
        <f t="shared" si="0"/>
        <v>4380</v>
      </c>
      <c r="U10" s="22">
        <f t="shared" si="0"/>
        <v>0</v>
      </c>
      <c r="V10" s="22">
        <f t="shared" si="0"/>
        <v>2862.35</v>
      </c>
      <c r="W10" s="22">
        <f t="shared" si="0"/>
        <v>0</v>
      </c>
      <c r="X10" s="22">
        <f t="shared" si="0"/>
        <v>1320</v>
      </c>
      <c r="Y10" s="22">
        <f t="shared" si="0"/>
        <v>960</v>
      </c>
      <c r="Z10" s="22">
        <f t="shared" si="0"/>
        <v>3230</v>
      </c>
      <c r="AA10" s="22">
        <f t="shared" si="0"/>
        <v>7211.1</v>
      </c>
      <c r="AB10" s="22">
        <f t="shared" si="0"/>
        <v>120</v>
      </c>
      <c r="AC10" s="22">
        <f t="shared" si="0"/>
        <v>120</v>
      </c>
      <c r="AD10" s="22">
        <f t="shared" si="0"/>
        <v>0</v>
      </c>
      <c r="AE10" s="22">
        <f t="shared" si="0"/>
        <v>120</v>
      </c>
      <c r="AF10" s="22">
        <f t="shared" si="0"/>
        <v>5525</v>
      </c>
      <c r="AG10" s="22">
        <f t="shared" si="0"/>
        <v>12276.7</v>
      </c>
      <c r="AH10" s="22">
        <f t="shared" si="0"/>
        <v>1714</v>
      </c>
      <c r="AI10" s="22">
        <f t="shared" si="0"/>
        <v>0</v>
      </c>
      <c r="AJ10" s="22">
        <f t="shared" si="0"/>
        <v>0</v>
      </c>
      <c r="AK10" s="4">
        <f t="shared" ref="AK10:AM10" si="1">SUM(AK8:AK9)</f>
        <v>119236.6</v>
      </c>
      <c r="AL10" s="4">
        <f t="shared" si="1"/>
        <v>119206.59999999999</v>
      </c>
      <c r="AM10" s="4">
        <f t="shared" si="1"/>
        <v>-30.000000000014552</v>
      </c>
    </row>
    <row r="11" spans="1:39" ht="13.25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39" ht="10.5" customHeight="1" x14ac:dyDescent="0.15">
      <c r="A12" s="53" t="s">
        <v>11</v>
      </c>
      <c r="B12" s="23">
        <f t="shared" ref="B12:AJ12" si="2">(B10 - 0)</f>
        <v>8226.4599999999991</v>
      </c>
      <c r="C12" s="23">
        <f t="shared" si="2"/>
        <v>1750</v>
      </c>
      <c r="D12" s="23">
        <f t="shared" si="2"/>
        <v>80</v>
      </c>
      <c r="E12" s="23">
        <f t="shared" si="2"/>
        <v>714</v>
      </c>
      <c r="F12" s="23">
        <f t="shared" si="2"/>
        <v>0</v>
      </c>
      <c r="G12" s="23">
        <f t="shared" si="2"/>
        <v>0</v>
      </c>
      <c r="H12" s="23">
        <f t="shared" si="2"/>
        <v>600</v>
      </c>
      <c r="I12" s="23">
        <f t="shared" si="2"/>
        <v>2680</v>
      </c>
      <c r="J12" s="23">
        <f t="shared" si="2"/>
        <v>0</v>
      </c>
      <c r="K12" s="23">
        <f t="shared" si="2"/>
        <v>440</v>
      </c>
      <c r="L12" s="23">
        <f t="shared" si="2"/>
        <v>0</v>
      </c>
      <c r="M12" s="23">
        <f t="shared" si="2"/>
        <v>720</v>
      </c>
      <c r="N12" s="23">
        <f t="shared" si="2"/>
        <v>48379.42</v>
      </c>
      <c r="O12" s="23">
        <f t="shared" si="2"/>
        <v>4970</v>
      </c>
      <c r="P12" s="23">
        <f t="shared" si="2"/>
        <v>2868</v>
      </c>
      <c r="Q12" s="23">
        <f t="shared" si="2"/>
        <v>4563.6899999999996</v>
      </c>
      <c r="R12" s="23">
        <f t="shared" si="2"/>
        <v>45.88</v>
      </c>
      <c r="S12" s="23">
        <f t="shared" si="2"/>
        <v>3360</v>
      </c>
      <c r="T12" s="23">
        <f t="shared" si="2"/>
        <v>4380</v>
      </c>
      <c r="U12" s="23">
        <f t="shared" si="2"/>
        <v>0</v>
      </c>
      <c r="V12" s="23">
        <f t="shared" si="2"/>
        <v>2862.35</v>
      </c>
      <c r="W12" s="23">
        <f t="shared" si="2"/>
        <v>0</v>
      </c>
      <c r="X12" s="23">
        <f t="shared" si="2"/>
        <v>1320</v>
      </c>
      <c r="Y12" s="23">
        <f t="shared" si="2"/>
        <v>960</v>
      </c>
      <c r="Z12" s="23">
        <f t="shared" si="2"/>
        <v>3230</v>
      </c>
      <c r="AA12" s="23">
        <f t="shared" si="2"/>
        <v>7211.1</v>
      </c>
      <c r="AB12" s="23">
        <f t="shared" si="2"/>
        <v>120</v>
      </c>
      <c r="AC12" s="23">
        <f t="shared" si="2"/>
        <v>120</v>
      </c>
      <c r="AD12" s="23">
        <f t="shared" si="2"/>
        <v>0</v>
      </c>
      <c r="AE12" s="23">
        <f t="shared" si="2"/>
        <v>120</v>
      </c>
      <c r="AF12" s="23">
        <f t="shared" si="2"/>
        <v>5525</v>
      </c>
      <c r="AG12" s="23">
        <f t="shared" si="2"/>
        <v>12276.7</v>
      </c>
      <c r="AH12" s="23">
        <f t="shared" si="2"/>
        <v>1714</v>
      </c>
      <c r="AI12" s="23">
        <f t="shared" si="2"/>
        <v>0</v>
      </c>
      <c r="AJ12" s="23">
        <f t="shared" si="2"/>
        <v>0</v>
      </c>
      <c r="AK12" s="5">
        <f t="shared" ref="AK12:AM12" si="3">(AK10 - 0)</f>
        <v>119236.6</v>
      </c>
      <c r="AL12" s="5">
        <f t="shared" si="3"/>
        <v>119206.59999999999</v>
      </c>
      <c r="AM12" s="5">
        <f t="shared" si="3"/>
        <v>-30.000000000014552</v>
      </c>
    </row>
    <row r="13" spans="1:39" ht="13.25" customHeight="1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</row>
    <row r="14" spans="1:39" ht="13" customHeight="1" x14ac:dyDescent="0.15">
      <c r="A14" s="54" t="s">
        <v>12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20"/>
      <c r="AL14" s="20"/>
      <c r="AM14" s="20"/>
    </row>
    <row r="15" spans="1:39" ht="10.5" customHeight="1" x14ac:dyDescent="0.15">
      <c r="A15" s="51" t="s">
        <v>82</v>
      </c>
      <c r="B15" s="21">
        <v>1440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">
        <f t="shared" ref="AK15:AK28" si="4">SUM(B15:AJ15)</f>
        <v>1440</v>
      </c>
      <c r="AL15" s="2">
        <f>'P&amp;L Projection 22 and 23'!N15</f>
        <v>1440</v>
      </c>
      <c r="AM15" s="2">
        <f t="shared" ref="AM15:AM28" si="5">AL15-AK15</f>
        <v>0</v>
      </c>
    </row>
    <row r="16" spans="1:39" ht="10.5" customHeight="1" x14ac:dyDescent="0.15">
      <c r="A16" s="51" t="s">
        <v>13</v>
      </c>
      <c r="B16" s="21">
        <v>126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0</v>
      </c>
      <c r="AK16" s="2">
        <f t="shared" si="4"/>
        <v>126</v>
      </c>
      <c r="AL16" s="2">
        <f>'P&amp;L Projection 22 and 23'!N16</f>
        <v>126</v>
      </c>
      <c r="AM16" s="2">
        <f t="shared" si="5"/>
        <v>0</v>
      </c>
    </row>
    <row r="17" spans="1:39" ht="10.5" customHeight="1" x14ac:dyDescent="0.15">
      <c r="A17" s="51" t="s">
        <v>14</v>
      </c>
      <c r="B17" s="21">
        <v>48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0</v>
      </c>
      <c r="AJ17" s="21">
        <v>0</v>
      </c>
      <c r="AK17" s="2">
        <f t="shared" si="4"/>
        <v>48</v>
      </c>
      <c r="AL17" s="2">
        <f>'P&amp;L Projection 22 and 23'!N17</f>
        <v>48</v>
      </c>
      <c r="AM17" s="2">
        <f t="shared" si="5"/>
        <v>0</v>
      </c>
    </row>
    <row r="18" spans="1:39" ht="10.5" customHeight="1" x14ac:dyDescent="0.15">
      <c r="A18" s="51" t="s">
        <v>64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0.3</v>
      </c>
      <c r="AH18" s="21">
        <v>0</v>
      </c>
      <c r="AI18" s="21">
        <v>0</v>
      </c>
      <c r="AJ18" s="21">
        <v>0</v>
      </c>
      <c r="AK18" s="2">
        <f t="shared" si="4"/>
        <v>0.3</v>
      </c>
      <c r="AL18" s="2">
        <f>'P&amp;L Projection 22 and 23'!N18</f>
        <v>0.3</v>
      </c>
      <c r="AM18" s="2">
        <f t="shared" si="5"/>
        <v>0</v>
      </c>
    </row>
    <row r="19" spans="1:39" ht="10.5" customHeight="1" x14ac:dyDescent="0.15">
      <c r="A19" s="51" t="s">
        <v>15</v>
      </c>
      <c r="B19" s="21">
        <v>11.3</v>
      </c>
      <c r="C19" s="21">
        <v>0</v>
      </c>
      <c r="D19" s="21">
        <v>2.12</v>
      </c>
      <c r="E19" s="21">
        <v>13.1</v>
      </c>
      <c r="F19" s="21">
        <v>0</v>
      </c>
      <c r="G19" s="21">
        <v>0</v>
      </c>
      <c r="H19" s="21">
        <v>0</v>
      </c>
      <c r="I19" s="21">
        <v>1.92</v>
      </c>
      <c r="J19" s="21">
        <v>0</v>
      </c>
      <c r="K19" s="21">
        <v>0.34</v>
      </c>
      <c r="L19" s="21">
        <v>0</v>
      </c>
      <c r="M19" s="21">
        <v>0</v>
      </c>
      <c r="N19" s="21">
        <v>62.87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0.27</v>
      </c>
      <c r="W19" s="21">
        <v>0</v>
      </c>
      <c r="X19" s="21">
        <v>0</v>
      </c>
      <c r="Y19" s="21">
        <v>0</v>
      </c>
      <c r="Z19" s="21">
        <v>12.52</v>
      </c>
      <c r="AA19" s="21">
        <v>5.92</v>
      </c>
      <c r="AB19" s="21">
        <v>0</v>
      </c>
      <c r="AC19" s="21">
        <v>0</v>
      </c>
      <c r="AD19" s="21">
        <v>0</v>
      </c>
      <c r="AE19" s="21">
        <v>0</v>
      </c>
      <c r="AF19" s="21">
        <v>11.29</v>
      </c>
      <c r="AG19" s="21">
        <v>31.25</v>
      </c>
      <c r="AH19" s="21">
        <v>0</v>
      </c>
      <c r="AI19" s="21">
        <v>0</v>
      </c>
      <c r="AJ19" s="21">
        <v>0</v>
      </c>
      <c r="AK19" s="2">
        <f t="shared" si="4"/>
        <v>152.9</v>
      </c>
      <c r="AL19" s="2">
        <f>'P&amp;L Projection 22 and 23'!N19</f>
        <v>152.24</v>
      </c>
      <c r="AM19" s="2">
        <f t="shared" si="5"/>
        <v>-0.65999999999999659</v>
      </c>
    </row>
    <row r="20" spans="1:39" ht="10.5" customHeight="1" x14ac:dyDescent="0.15">
      <c r="A20" s="51" t="s">
        <v>86</v>
      </c>
      <c r="B20" s="21">
        <v>876.01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0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">
        <f t="shared" si="4"/>
        <v>876.01</v>
      </c>
      <c r="AL20" s="2">
        <f>'P&amp;L Projection 22 and 23'!N20</f>
        <v>876.01</v>
      </c>
      <c r="AM20" s="2">
        <f t="shared" si="5"/>
        <v>0</v>
      </c>
    </row>
    <row r="21" spans="1:39" ht="10.5" customHeight="1" x14ac:dyDescent="0.15">
      <c r="A21" s="51" t="s">
        <v>16</v>
      </c>
      <c r="B21" s="21">
        <v>1417.87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">
        <f t="shared" si="4"/>
        <v>1417.87</v>
      </c>
      <c r="AL21" s="2">
        <f>'P&amp;L Projection 22 and 23'!N21</f>
        <v>1417.87</v>
      </c>
      <c r="AM21" s="2">
        <f t="shared" si="5"/>
        <v>0</v>
      </c>
    </row>
    <row r="22" spans="1:39" ht="10.5" customHeight="1" x14ac:dyDescent="0.15">
      <c r="A22" s="51" t="s">
        <v>17</v>
      </c>
      <c r="B22" s="21">
        <v>0</v>
      </c>
      <c r="C22" s="21">
        <v>0</v>
      </c>
      <c r="D22" s="21">
        <v>0</v>
      </c>
      <c r="E22" s="21">
        <v>590</v>
      </c>
      <c r="F22" s="21">
        <v>0</v>
      </c>
      <c r="G22" s="21">
        <v>0</v>
      </c>
      <c r="H22" s="21">
        <v>980</v>
      </c>
      <c r="I22" s="21">
        <v>4565.71</v>
      </c>
      <c r="J22" s="21">
        <v>0</v>
      </c>
      <c r="K22" s="21">
        <v>0</v>
      </c>
      <c r="L22" s="21">
        <v>0</v>
      </c>
      <c r="M22" s="21">
        <v>0</v>
      </c>
      <c r="N22" s="21">
        <v>43050</v>
      </c>
      <c r="O22" s="21">
        <v>12603</v>
      </c>
      <c r="P22" s="21">
        <v>2857</v>
      </c>
      <c r="Q22" s="21">
        <v>4054</v>
      </c>
      <c r="R22" s="21">
        <v>38</v>
      </c>
      <c r="S22" s="21">
        <v>2256.0500000000002</v>
      </c>
      <c r="T22" s="21">
        <v>2756.8</v>
      </c>
      <c r="U22" s="21">
        <v>180.3</v>
      </c>
      <c r="V22" s="21">
        <v>2726</v>
      </c>
      <c r="W22" s="21">
        <v>0</v>
      </c>
      <c r="X22" s="21">
        <v>0</v>
      </c>
      <c r="Y22" s="21">
        <v>0</v>
      </c>
      <c r="Z22" s="21">
        <v>1061.6500000000001</v>
      </c>
      <c r="AA22" s="21">
        <v>3184.52</v>
      </c>
      <c r="AB22" s="21">
        <v>108</v>
      </c>
      <c r="AC22" s="21">
        <v>129</v>
      </c>
      <c r="AD22" s="21">
        <v>0</v>
      </c>
      <c r="AE22" s="21">
        <v>129</v>
      </c>
      <c r="AF22" s="21">
        <v>5867.1</v>
      </c>
      <c r="AG22" s="21">
        <v>11100</v>
      </c>
      <c r="AH22" s="21">
        <v>2685</v>
      </c>
      <c r="AI22" s="21">
        <v>0</v>
      </c>
      <c r="AJ22" s="21">
        <v>0</v>
      </c>
      <c r="AK22" s="2">
        <f t="shared" si="4"/>
        <v>100921.13</v>
      </c>
      <c r="AL22" s="2">
        <f>'P&amp;L Projection 22 and 23'!N22</f>
        <v>100921.13</v>
      </c>
      <c r="AM22" s="2">
        <f t="shared" si="5"/>
        <v>0</v>
      </c>
    </row>
    <row r="23" spans="1:39" ht="10.5" customHeight="1" x14ac:dyDescent="0.15">
      <c r="A23" s="51" t="s">
        <v>18</v>
      </c>
      <c r="B23" s="21">
        <v>0</v>
      </c>
      <c r="C23" s="21">
        <v>2250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">
        <f t="shared" si="4"/>
        <v>2250</v>
      </c>
      <c r="AL23" s="2">
        <f>'P&amp;L Projection 22 and 23'!N23</f>
        <v>2250</v>
      </c>
      <c r="AM23" s="2">
        <f t="shared" si="5"/>
        <v>0</v>
      </c>
    </row>
    <row r="24" spans="1:39" ht="10.5" customHeight="1" x14ac:dyDescent="0.15">
      <c r="A24" s="51" t="s">
        <v>19</v>
      </c>
      <c r="B24" s="21">
        <v>417.48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">
        <f t="shared" si="4"/>
        <v>417.48</v>
      </c>
      <c r="AL24" s="2">
        <f>'P&amp;L Projection 22 and 23'!N24</f>
        <v>417.47999999999996</v>
      </c>
      <c r="AM24" s="2">
        <f t="shared" si="5"/>
        <v>0</v>
      </c>
    </row>
    <row r="25" spans="1:39" ht="10" customHeight="1" x14ac:dyDescent="0.15">
      <c r="A25" s="51" t="s">
        <v>20</v>
      </c>
      <c r="B25" s="21">
        <v>1011.36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">
        <f t="shared" si="4"/>
        <v>1011.36</v>
      </c>
      <c r="AL25" s="2">
        <f>'P&amp;L Projection 22 and 23'!N25</f>
        <v>1011.36</v>
      </c>
      <c r="AM25" s="2">
        <f t="shared" si="5"/>
        <v>0</v>
      </c>
    </row>
    <row r="26" spans="1:39" ht="10" customHeight="1" x14ac:dyDescent="0.15">
      <c r="A26" s="51" t="s">
        <v>21</v>
      </c>
      <c r="B26" s="21">
        <v>84.77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">
        <f t="shared" si="4"/>
        <v>84.77</v>
      </c>
      <c r="AL26" s="2">
        <f>'P&amp;L Projection 22 and 23'!N26</f>
        <v>84.77</v>
      </c>
      <c r="AM26" s="2">
        <f t="shared" si="5"/>
        <v>0</v>
      </c>
    </row>
    <row r="27" spans="1:39" ht="10" customHeight="1" x14ac:dyDescent="0.15">
      <c r="A27" s="51" t="s">
        <v>22</v>
      </c>
      <c r="B27" s="21">
        <v>500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">
        <f t="shared" si="4"/>
        <v>500</v>
      </c>
      <c r="AL27" s="2">
        <f>'P&amp;L Projection 22 and 23'!N27</f>
        <v>500</v>
      </c>
      <c r="AM27" s="2">
        <f t="shared" si="5"/>
        <v>0</v>
      </c>
    </row>
    <row r="28" spans="1:39" ht="10.5" customHeight="1" x14ac:dyDescent="0.15">
      <c r="A28" s="51" t="s">
        <v>23</v>
      </c>
      <c r="B28" s="21">
        <v>24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0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0</v>
      </c>
      <c r="AJ28" s="21">
        <v>0</v>
      </c>
      <c r="AK28" s="2">
        <f t="shared" si="4"/>
        <v>24</v>
      </c>
      <c r="AL28" s="2">
        <f>'P&amp;L Projection 22 and 23'!N28</f>
        <v>23.999999999999996</v>
      </c>
      <c r="AM28" s="2">
        <f t="shared" si="5"/>
        <v>0</v>
      </c>
    </row>
    <row r="29" spans="1:39" ht="10.5" customHeight="1" x14ac:dyDescent="0.15">
      <c r="A29" s="52" t="s">
        <v>24</v>
      </c>
      <c r="B29" s="22">
        <f t="shared" ref="B29:AJ29" si="6">SUM(B15:B28)</f>
        <v>5956.79</v>
      </c>
      <c r="C29" s="22">
        <f t="shared" si="6"/>
        <v>2250</v>
      </c>
      <c r="D29" s="22">
        <f t="shared" si="6"/>
        <v>2.12</v>
      </c>
      <c r="E29" s="22">
        <f t="shared" si="6"/>
        <v>603.1</v>
      </c>
      <c r="F29" s="22">
        <f t="shared" si="6"/>
        <v>0</v>
      </c>
      <c r="G29" s="22">
        <f t="shared" si="6"/>
        <v>0</v>
      </c>
      <c r="H29" s="22">
        <f t="shared" si="6"/>
        <v>980</v>
      </c>
      <c r="I29" s="22">
        <f t="shared" si="6"/>
        <v>4567.63</v>
      </c>
      <c r="J29" s="22">
        <f t="shared" si="6"/>
        <v>0</v>
      </c>
      <c r="K29" s="22">
        <f t="shared" si="6"/>
        <v>0.34</v>
      </c>
      <c r="L29" s="22">
        <f t="shared" si="6"/>
        <v>0</v>
      </c>
      <c r="M29" s="22">
        <f t="shared" si="6"/>
        <v>0</v>
      </c>
      <c r="N29" s="22">
        <f t="shared" si="6"/>
        <v>43112.87</v>
      </c>
      <c r="O29" s="22">
        <f t="shared" si="6"/>
        <v>12603</v>
      </c>
      <c r="P29" s="22">
        <f t="shared" si="6"/>
        <v>2857</v>
      </c>
      <c r="Q29" s="22">
        <f t="shared" si="6"/>
        <v>4054</v>
      </c>
      <c r="R29" s="22">
        <f t="shared" si="6"/>
        <v>38</v>
      </c>
      <c r="S29" s="22">
        <f t="shared" si="6"/>
        <v>2256.0500000000002</v>
      </c>
      <c r="T29" s="22">
        <f t="shared" si="6"/>
        <v>2756.8</v>
      </c>
      <c r="U29" s="22">
        <f t="shared" si="6"/>
        <v>180.3</v>
      </c>
      <c r="V29" s="22">
        <f t="shared" si="6"/>
        <v>2726.27</v>
      </c>
      <c r="W29" s="22">
        <f t="shared" si="6"/>
        <v>0</v>
      </c>
      <c r="X29" s="22">
        <f t="shared" si="6"/>
        <v>0</v>
      </c>
      <c r="Y29" s="22">
        <f t="shared" si="6"/>
        <v>0</v>
      </c>
      <c r="Z29" s="22">
        <f t="shared" si="6"/>
        <v>1074.17</v>
      </c>
      <c r="AA29" s="22">
        <f t="shared" si="6"/>
        <v>3190.44</v>
      </c>
      <c r="AB29" s="22">
        <f t="shared" si="6"/>
        <v>108</v>
      </c>
      <c r="AC29" s="22">
        <f t="shared" si="6"/>
        <v>129</v>
      </c>
      <c r="AD29" s="22">
        <f t="shared" si="6"/>
        <v>0</v>
      </c>
      <c r="AE29" s="22">
        <f t="shared" si="6"/>
        <v>129</v>
      </c>
      <c r="AF29" s="22">
        <f t="shared" si="6"/>
        <v>5878.39</v>
      </c>
      <c r="AG29" s="22">
        <f t="shared" si="6"/>
        <v>11131.55</v>
      </c>
      <c r="AH29" s="22">
        <f t="shared" si="6"/>
        <v>2685</v>
      </c>
      <c r="AI29" s="22">
        <f t="shared" si="6"/>
        <v>0</v>
      </c>
      <c r="AJ29" s="22">
        <f t="shared" si="6"/>
        <v>0</v>
      </c>
      <c r="AK29" s="4">
        <f t="shared" ref="AK29:AM29" si="7">SUM(AK15:AK28)</f>
        <v>109269.82</v>
      </c>
      <c r="AL29" s="4">
        <f t="shared" si="7"/>
        <v>109269.16</v>
      </c>
      <c r="AM29" s="4">
        <f t="shared" si="7"/>
        <v>-0.65999999999999659</v>
      </c>
    </row>
    <row r="30" spans="1:39" ht="13.25" customHeight="1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</row>
    <row r="31" spans="1:39" ht="10.5" customHeight="1" x14ac:dyDescent="0.15">
      <c r="A31" s="53" t="s">
        <v>25</v>
      </c>
      <c r="B31" s="23">
        <f t="shared" ref="B31:AJ31" si="8">((B12 + 0) - (0 + B29))</f>
        <v>2269.6699999999992</v>
      </c>
      <c r="C31" s="23">
        <f t="shared" si="8"/>
        <v>-500</v>
      </c>
      <c r="D31" s="23">
        <f t="shared" si="8"/>
        <v>77.88</v>
      </c>
      <c r="E31" s="23">
        <f t="shared" si="8"/>
        <v>110.89999999999998</v>
      </c>
      <c r="F31" s="23">
        <f t="shared" si="8"/>
        <v>0</v>
      </c>
      <c r="G31" s="23">
        <f t="shared" si="8"/>
        <v>0</v>
      </c>
      <c r="H31" s="23">
        <f t="shared" si="8"/>
        <v>-380</v>
      </c>
      <c r="I31" s="23">
        <f t="shared" si="8"/>
        <v>-1887.63</v>
      </c>
      <c r="J31" s="23">
        <f t="shared" si="8"/>
        <v>0</v>
      </c>
      <c r="K31" s="23">
        <f t="shared" si="8"/>
        <v>439.66</v>
      </c>
      <c r="L31" s="23">
        <f t="shared" si="8"/>
        <v>0</v>
      </c>
      <c r="M31" s="23">
        <f t="shared" si="8"/>
        <v>720</v>
      </c>
      <c r="N31" s="23">
        <f t="shared" si="8"/>
        <v>5266.5499999999956</v>
      </c>
      <c r="O31" s="23">
        <f t="shared" si="8"/>
        <v>-7633</v>
      </c>
      <c r="P31" s="23">
        <f t="shared" si="8"/>
        <v>11</v>
      </c>
      <c r="Q31" s="23">
        <f t="shared" si="8"/>
        <v>509.6899999999996</v>
      </c>
      <c r="R31" s="23">
        <f t="shared" si="8"/>
        <v>7.8800000000000026</v>
      </c>
      <c r="S31" s="23">
        <f t="shared" si="8"/>
        <v>1103.9499999999998</v>
      </c>
      <c r="T31" s="23">
        <f t="shared" si="8"/>
        <v>1623.1999999999998</v>
      </c>
      <c r="U31" s="23">
        <f t="shared" si="8"/>
        <v>-180.3</v>
      </c>
      <c r="V31" s="23">
        <f t="shared" si="8"/>
        <v>136.07999999999993</v>
      </c>
      <c r="W31" s="23">
        <f t="shared" si="8"/>
        <v>0</v>
      </c>
      <c r="X31" s="23">
        <f t="shared" si="8"/>
        <v>1320</v>
      </c>
      <c r="Y31" s="23">
        <f t="shared" si="8"/>
        <v>960</v>
      </c>
      <c r="Z31" s="23">
        <f t="shared" si="8"/>
        <v>2155.83</v>
      </c>
      <c r="AA31" s="23">
        <f t="shared" si="8"/>
        <v>4020.6600000000003</v>
      </c>
      <c r="AB31" s="23">
        <f t="shared" si="8"/>
        <v>12</v>
      </c>
      <c r="AC31" s="23">
        <f t="shared" si="8"/>
        <v>-9</v>
      </c>
      <c r="AD31" s="23">
        <f t="shared" si="8"/>
        <v>0</v>
      </c>
      <c r="AE31" s="23">
        <f t="shared" si="8"/>
        <v>-9</v>
      </c>
      <c r="AF31" s="23">
        <f t="shared" si="8"/>
        <v>-353.39000000000033</v>
      </c>
      <c r="AG31" s="23">
        <f t="shared" si="8"/>
        <v>1145.1500000000015</v>
      </c>
      <c r="AH31" s="23">
        <f t="shared" si="8"/>
        <v>-971</v>
      </c>
      <c r="AI31" s="23">
        <f t="shared" si="8"/>
        <v>0</v>
      </c>
      <c r="AJ31" s="23">
        <f t="shared" si="8"/>
        <v>0</v>
      </c>
      <c r="AK31" s="5">
        <f t="shared" ref="AK31:AM31" si="9">((AK12 + 0) - (0 + AK29))</f>
        <v>9966.7799999999988</v>
      </c>
      <c r="AL31" s="5">
        <f t="shared" si="9"/>
        <v>9937.4399999999878</v>
      </c>
      <c r="AM31" s="5">
        <f t="shared" si="9"/>
        <v>-29.340000000014555</v>
      </c>
    </row>
    <row r="32" spans="1:39" ht="13.25" customHeight="1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</row>
    <row r="33" spans="1:39" ht="13" customHeight="1" x14ac:dyDescent="0.15">
      <c r="A33" s="54" t="s">
        <v>61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20"/>
      <c r="AL33" s="20"/>
      <c r="AM33" s="20"/>
    </row>
    <row r="34" spans="1:39" ht="10.5" customHeight="1" x14ac:dyDescent="0.15">
      <c r="A34" s="51" t="s">
        <v>62</v>
      </c>
      <c r="B34" s="21">
        <v>9753.17</v>
      </c>
      <c r="C34" s="21">
        <v>0</v>
      </c>
      <c r="D34" s="21">
        <v>-4.5</v>
      </c>
      <c r="E34" s="21">
        <v>0</v>
      </c>
      <c r="F34" s="21">
        <v>0</v>
      </c>
      <c r="G34" s="21">
        <v>0</v>
      </c>
      <c r="H34" s="21">
        <v>-55</v>
      </c>
      <c r="I34" s="21">
        <v>-206</v>
      </c>
      <c r="J34" s="21">
        <v>0</v>
      </c>
      <c r="K34" s="21">
        <v>-40.5</v>
      </c>
      <c r="L34" s="21">
        <v>0</v>
      </c>
      <c r="M34" s="21">
        <v>-66</v>
      </c>
      <c r="N34" s="21">
        <v>-4751.74</v>
      </c>
      <c r="O34" s="21">
        <v>-497</v>
      </c>
      <c r="P34" s="21">
        <v>-265.8</v>
      </c>
      <c r="Q34" s="21">
        <v>-454.4</v>
      </c>
      <c r="R34" s="21">
        <v>-8.41</v>
      </c>
      <c r="S34" s="21">
        <v>-33</v>
      </c>
      <c r="T34" s="21">
        <v>-391.5</v>
      </c>
      <c r="U34" s="21">
        <v>-18</v>
      </c>
      <c r="V34" s="21">
        <v>-460.24</v>
      </c>
      <c r="W34" s="21">
        <v>0</v>
      </c>
      <c r="X34" s="21">
        <v>-121</v>
      </c>
      <c r="Y34" s="21">
        <v>-88</v>
      </c>
      <c r="Z34" s="21">
        <v>-313</v>
      </c>
      <c r="AA34" s="21">
        <v>-647.71</v>
      </c>
      <c r="AB34" s="21">
        <v>-11</v>
      </c>
      <c r="AC34" s="21">
        <v>-11</v>
      </c>
      <c r="AD34" s="21">
        <v>0</v>
      </c>
      <c r="AE34" s="21">
        <v>-11</v>
      </c>
      <c r="AF34" s="21">
        <v>-16.5</v>
      </c>
      <c r="AG34" s="21">
        <v>-1122.67</v>
      </c>
      <c r="AH34" s="21">
        <v>-159.19999999999999</v>
      </c>
      <c r="AI34" s="21">
        <v>0</v>
      </c>
      <c r="AJ34" s="21">
        <v>0</v>
      </c>
      <c r="AK34" s="2">
        <f>SUM(B34:AJ34)</f>
        <v>-1.7053025658242404E-13</v>
      </c>
      <c r="AL34" s="2">
        <v>0</v>
      </c>
      <c r="AM34" s="2">
        <v>0</v>
      </c>
    </row>
    <row r="35" spans="1:39" ht="10.5" customHeight="1" x14ac:dyDescent="0.15">
      <c r="A35" s="51" t="s">
        <v>87</v>
      </c>
      <c r="B35" s="21">
        <v>-870</v>
      </c>
      <c r="C35" s="21">
        <v>0</v>
      </c>
      <c r="D35" s="21">
        <v>-930</v>
      </c>
      <c r="E35" s="21">
        <v>0</v>
      </c>
      <c r="F35" s="21">
        <v>0</v>
      </c>
      <c r="G35" s="21">
        <v>0</v>
      </c>
      <c r="H35" s="21">
        <v>0</v>
      </c>
      <c r="I35" s="21">
        <v>1800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</v>
      </c>
      <c r="AJ35" s="21">
        <v>0</v>
      </c>
      <c r="AK35" s="2"/>
      <c r="AL35" s="2"/>
      <c r="AM35" s="2"/>
    </row>
    <row r="36" spans="1:39" ht="10.5" customHeight="1" x14ac:dyDescent="0.15">
      <c r="A36" s="52" t="s">
        <v>63</v>
      </c>
      <c r="B36" s="22">
        <f t="shared" ref="B36:AJ36" si="10">SUM(B34:B35)</f>
        <v>8883.17</v>
      </c>
      <c r="C36" s="22">
        <f t="shared" si="10"/>
        <v>0</v>
      </c>
      <c r="D36" s="22">
        <f t="shared" si="10"/>
        <v>-934.5</v>
      </c>
      <c r="E36" s="22">
        <f t="shared" si="10"/>
        <v>0</v>
      </c>
      <c r="F36" s="22">
        <f t="shared" si="10"/>
        <v>0</v>
      </c>
      <c r="G36" s="22">
        <f t="shared" si="10"/>
        <v>0</v>
      </c>
      <c r="H36" s="22">
        <f t="shared" si="10"/>
        <v>-55</v>
      </c>
      <c r="I36" s="22">
        <f t="shared" si="10"/>
        <v>1594</v>
      </c>
      <c r="J36" s="22">
        <f t="shared" si="10"/>
        <v>0</v>
      </c>
      <c r="K36" s="22">
        <f t="shared" si="10"/>
        <v>-40.5</v>
      </c>
      <c r="L36" s="22">
        <f t="shared" si="10"/>
        <v>0</v>
      </c>
      <c r="M36" s="22">
        <f t="shared" si="10"/>
        <v>-66</v>
      </c>
      <c r="N36" s="22">
        <f t="shared" si="10"/>
        <v>-4751.74</v>
      </c>
      <c r="O36" s="22">
        <f t="shared" si="10"/>
        <v>-497</v>
      </c>
      <c r="P36" s="22">
        <f t="shared" si="10"/>
        <v>-265.8</v>
      </c>
      <c r="Q36" s="22">
        <f t="shared" si="10"/>
        <v>-454.4</v>
      </c>
      <c r="R36" s="22">
        <f t="shared" si="10"/>
        <v>-8.41</v>
      </c>
      <c r="S36" s="22">
        <f t="shared" si="10"/>
        <v>-33</v>
      </c>
      <c r="T36" s="22">
        <f t="shared" si="10"/>
        <v>-391.5</v>
      </c>
      <c r="U36" s="22">
        <f t="shared" si="10"/>
        <v>-18</v>
      </c>
      <c r="V36" s="22">
        <f t="shared" si="10"/>
        <v>-460.24</v>
      </c>
      <c r="W36" s="22">
        <f t="shared" si="10"/>
        <v>0</v>
      </c>
      <c r="X36" s="22">
        <f t="shared" si="10"/>
        <v>-121</v>
      </c>
      <c r="Y36" s="22">
        <f t="shared" si="10"/>
        <v>-88</v>
      </c>
      <c r="Z36" s="22">
        <f t="shared" si="10"/>
        <v>-313</v>
      </c>
      <c r="AA36" s="22">
        <f t="shared" si="10"/>
        <v>-647.71</v>
      </c>
      <c r="AB36" s="22">
        <f t="shared" si="10"/>
        <v>-11</v>
      </c>
      <c r="AC36" s="22">
        <f t="shared" si="10"/>
        <v>-11</v>
      </c>
      <c r="AD36" s="22">
        <f t="shared" si="10"/>
        <v>0</v>
      </c>
      <c r="AE36" s="22">
        <f t="shared" si="10"/>
        <v>-11</v>
      </c>
      <c r="AF36" s="22">
        <f t="shared" si="10"/>
        <v>-16.5</v>
      </c>
      <c r="AG36" s="22">
        <f t="shared" si="10"/>
        <v>-1122.67</v>
      </c>
      <c r="AH36" s="22">
        <f t="shared" si="10"/>
        <v>-159.19999999999999</v>
      </c>
      <c r="AI36" s="22">
        <f t="shared" si="10"/>
        <v>0</v>
      </c>
      <c r="AJ36" s="22">
        <f t="shared" si="10"/>
        <v>0</v>
      </c>
      <c r="AK36" s="4">
        <f t="shared" ref="AK36:AM36" si="11">AK34</f>
        <v>-1.7053025658242404E-13</v>
      </c>
      <c r="AL36" s="4">
        <f t="shared" si="11"/>
        <v>0</v>
      </c>
      <c r="AM36" s="4">
        <f t="shared" si="11"/>
        <v>0</v>
      </c>
    </row>
    <row r="37" spans="1:39" ht="13.25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 s="2"/>
      <c r="AL37" s="2"/>
      <c r="AM37" s="2"/>
    </row>
    <row r="38" spans="1:39" ht="10.5" customHeight="1" x14ac:dyDescent="0.15">
      <c r="A38" s="53" t="s">
        <v>26</v>
      </c>
      <c r="B38" s="23">
        <f t="shared" ref="B38:AJ38" si="12">(B31 + B36)</f>
        <v>11152.84</v>
      </c>
      <c r="C38" s="23">
        <f t="shared" si="12"/>
        <v>-500</v>
      </c>
      <c r="D38" s="23">
        <f t="shared" si="12"/>
        <v>-856.62</v>
      </c>
      <c r="E38" s="23">
        <f t="shared" si="12"/>
        <v>110.89999999999998</v>
      </c>
      <c r="F38" s="23">
        <f t="shared" si="12"/>
        <v>0</v>
      </c>
      <c r="G38" s="23">
        <f t="shared" si="12"/>
        <v>0</v>
      </c>
      <c r="H38" s="23">
        <f t="shared" si="12"/>
        <v>-435</v>
      </c>
      <c r="I38" s="23">
        <f t="shared" si="12"/>
        <v>-293.63000000000011</v>
      </c>
      <c r="J38" s="23">
        <f t="shared" si="12"/>
        <v>0</v>
      </c>
      <c r="K38" s="23">
        <f t="shared" si="12"/>
        <v>399.16</v>
      </c>
      <c r="L38" s="23">
        <f t="shared" si="12"/>
        <v>0</v>
      </c>
      <c r="M38" s="23">
        <f t="shared" si="12"/>
        <v>654</v>
      </c>
      <c r="N38" s="23">
        <f t="shared" si="12"/>
        <v>514.80999999999585</v>
      </c>
      <c r="O38" s="23">
        <f t="shared" si="12"/>
        <v>-8130</v>
      </c>
      <c r="P38" s="23">
        <f t="shared" si="12"/>
        <v>-254.8</v>
      </c>
      <c r="Q38" s="23">
        <f t="shared" si="12"/>
        <v>55.289999999999623</v>
      </c>
      <c r="R38" s="23">
        <f t="shared" si="12"/>
        <v>-0.52999999999999758</v>
      </c>
      <c r="S38" s="23">
        <f t="shared" si="12"/>
        <v>1070.9499999999998</v>
      </c>
      <c r="T38" s="23">
        <f t="shared" si="12"/>
        <v>1231.6999999999998</v>
      </c>
      <c r="U38" s="23">
        <f t="shared" si="12"/>
        <v>-198.3</v>
      </c>
      <c r="V38" s="23">
        <f t="shared" si="12"/>
        <v>-324.16000000000008</v>
      </c>
      <c r="W38" s="23">
        <f t="shared" si="12"/>
        <v>0</v>
      </c>
      <c r="X38" s="23">
        <f t="shared" si="12"/>
        <v>1199</v>
      </c>
      <c r="Y38" s="23">
        <f t="shared" si="12"/>
        <v>872</v>
      </c>
      <c r="Z38" s="23">
        <f t="shared" si="12"/>
        <v>1842.83</v>
      </c>
      <c r="AA38" s="23">
        <f t="shared" si="12"/>
        <v>3372.9500000000003</v>
      </c>
      <c r="AB38" s="23">
        <f t="shared" si="12"/>
        <v>1</v>
      </c>
      <c r="AC38" s="23">
        <f t="shared" si="12"/>
        <v>-20</v>
      </c>
      <c r="AD38" s="23">
        <f t="shared" si="12"/>
        <v>0</v>
      </c>
      <c r="AE38" s="23">
        <f t="shared" si="12"/>
        <v>-20</v>
      </c>
      <c r="AF38" s="23">
        <f t="shared" si="12"/>
        <v>-369.89000000000033</v>
      </c>
      <c r="AG38" s="23">
        <f t="shared" si="12"/>
        <v>22.480000000001382</v>
      </c>
      <c r="AH38" s="23">
        <f t="shared" si="12"/>
        <v>-1130.2</v>
      </c>
      <c r="AI38" s="23">
        <f t="shared" si="12"/>
        <v>0</v>
      </c>
      <c r="AJ38" s="23">
        <f t="shared" si="12"/>
        <v>0</v>
      </c>
      <c r="AK38" s="5">
        <f t="shared" ref="AK38:AM38" si="13">(AK31 + AK36)</f>
        <v>9966.7799999999988</v>
      </c>
      <c r="AL38" s="5">
        <f t="shared" si="13"/>
        <v>9937.4399999999878</v>
      </c>
      <c r="AM38" s="5">
        <f t="shared" si="13"/>
        <v>-29.340000000014555</v>
      </c>
    </row>
    <row r="39" spans="1:39" ht="13.25" customHeight="1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</row>
    <row r="40" spans="1:39" ht="10.5" customHeight="1" x14ac:dyDescent="0.15">
      <c r="A40" s="60" t="s">
        <v>89</v>
      </c>
      <c r="B40" s="23"/>
      <c r="C40" s="23"/>
      <c r="D40" s="23"/>
      <c r="E40" s="23">
        <f t="shared" ref="E40:AJ40" si="14">(E38 - 0)</f>
        <v>110.89999999999998</v>
      </c>
      <c r="F40" s="23">
        <f t="shared" si="14"/>
        <v>0</v>
      </c>
      <c r="G40" s="23">
        <f t="shared" si="14"/>
        <v>0</v>
      </c>
      <c r="H40" s="23">
        <f t="shared" si="14"/>
        <v>-435</v>
      </c>
      <c r="I40" s="23">
        <f t="shared" si="14"/>
        <v>-293.63000000000011</v>
      </c>
      <c r="J40" s="23">
        <f t="shared" si="14"/>
        <v>0</v>
      </c>
      <c r="K40" s="23">
        <f t="shared" si="14"/>
        <v>399.16</v>
      </c>
      <c r="L40" s="23">
        <f t="shared" si="14"/>
        <v>0</v>
      </c>
      <c r="M40" s="23">
        <f t="shared" si="14"/>
        <v>654</v>
      </c>
      <c r="N40" s="23">
        <f t="shared" si="14"/>
        <v>514.80999999999585</v>
      </c>
      <c r="O40" s="23">
        <f t="shared" si="14"/>
        <v>-8130</v>
      </c>
      <c r="P40" s="23">
        <f t="shared" si="14"/>
        <v>-254.8</v>
      </c>
      <c r="Q40" s="23">
        <f t="shared" si="14"/>
        <v>55.289999999999623</v>
      </c>
      <c r="R40" s="23">
        <f t="shared" si="14"/>
        <v>-0.52999999999999758</v>
      </c>
      <c r="S40" s="23">
        <f t="shared" si="14"/>
        <v>1070.9499999999998</v>
      </c>
      <c r="T40" s="23">
        <f t="shared" si="14"/>
        <v>1231.6999999999998</v>
      </c>
      <c r="U40" s="23">
        <f t="shared" si="14"/>
        <v>-198.3</v>
      </c>
      <c r="V40" s="23">
        <f t="shared" si="14"/>
        <v>-324.16000000000008</v>
      </c>
      <c r="W40" s="23">
        <f t="shared" si="14"/>
        <v>0</v>
      </c>
      <c r="X40" s="23">
        <f t="shared" si="14"/>
        <v>1199</v>
      </c>
      <c r="Y40" s="23">
        <f t="shared" si="14"/>
        <v>872</v>
      </c>
      <c r="Z40" s="23">
        <f t="shared" si="14"/>
        <v>1842.83</v>
      </c>
      <c r="AA40" s="23">
        <f t="shared" si="14"/>
        <v>3372.9500000000003</v>
      </c>
      <c r="AB40" s="23">
        <f t="shared" si="14"/>
        <v>1</v>
      </c>
      <c r="AC40" s="23">
        <f t="shared" si="14"/>
        <v>-20</v>
      </c>
      <c r="AD40" s="23">
        <f t="shared" si="14"/>
        <v>0</v>
      </c>
      <c r="AE40" s="23">
        <f t="shared" si="14"/>
        <v>-20</v>
      </c>
      <c r="AF40" s="23">
        <f t="shared" si="14"/>
        <v>-369.89000000000033</v>
      </c>
      <c r="AG40" s="23">
        <f t="shared" si="14"/>
        <v>22.480000000001382</v>
      </c>
      <c r="AH40" s="23">
        <f t="shared" si="14"/>
        <v>-1130.2</v>
      </c>
      <c r="AI40" s="23">
        <f t="shared" si="14"/>
        <v>0</v>
      </c>
      <c r="AJ40" s="23">
        <f t="shared" si="14"/>
        <v>0</v>
      </c>
      <c r="AK40" s="57">
        <f>SUM(B40:AJ40)</f>
        <v>170.55999999999699</v>
      </c>
      <c r="AL40" s="5">
        <f t="shared" ref="AL40:AM40" si="15">(AL38 - 0)</f>
        <v>9937.4399999999878</v>
      </c>
      <c r="AM40" s="5">
        <f t="shared" si="15"/>
        <v>-29.340000000014555</v>
      </c>
    </row>
    <row r="41" spans="1:39" x14ac:dyDescent="0.15">
      <c r="A41" s="59" t="s">
        <v>90</v>
      </c>
      <c r="B41" s="56"/>
      <c r="C41" s="56"/>
      <c r="D41" s="56"/>
      <c r="E41" s="56">
        <v>0</v>
      </c>
      <c r="F41" s="56">
        <v>0</v>
      </c>
      <c r="G41" s="56">
        <v>0</v>
      </c>
      <c r="H41" s="56">
        <v>1088</v>
      </c>
      <c r="I41" s="56">
        <v>600</v>
      </c>
      <c r="J41" s="56">
        <v>2481</v>
      </c>
      <c r="K41" s="56">
        <v>0</v>
      </c>
      <c r="L41" s="56">
        <v>0</v>
      </c>
      <c r="M41" s="56">
        <v>16850</v>
      </c>
      <c r="N41" s="56">
        <v>10217</v>
      </c>
      <c r="O41" s="56">
        <v>0</v>
      </c>
      <c r="P41" s="56">
        <v>0</v>
      </c>
      <c r="Q41" s="56">
        <v>0</v>
      </c>
      <c r="R41" s="56">
        <v>0</v>
      </c>
      <c r="S41" s="56">
        <v>4174</v>
      </c>
      <c r="T41" s="56">
        <v>0</v>
      </c>
      <c r="U41" s="56">
        <v>0</v>
      </c>
      <c r="V41" s="56">
        <v>486</v>
      </c>
      <c r="W41" s="56">
        <v>581</v>
      </c>
      <c r="X41" s="56">
        <v>0</v>
      </c>
      <c r="Y41" s="56">
        <v>0</v>
      </c>
      <c r="Z41" s="56">
        <v>11148</v>
      </c>
      <c r="AA41" s="56">
        <v>0</v>
      </c>
      <c r="AB41" s="56">
        <v>0</v>
      </c>
      <c r="AC41" s="56">
        <v>0</v>
      </c>
      <c r="AD41" s="56">
        <v>0</v>
      </c>
      <c r="AE41" s="56">
        <v>0</v>
      </c>
      <c r="AF41" s="56">
        <v>626</v>
      </c>
      <c r="AG41" s="56">
        <v>7516</v>
      </c>
      <c r="AH41" s="56">
        <v>0</v>
      </c>
      <c r="AI41" s="56">
        <v>0</v>
      </c>
      <c r="AJ41" s="56">
        <v>0</v>
      </c>
      <c r="AK41" s="57">
        <f>SUM(B41:AJ41)</f>
        <v>55767</v>
      </c>
      <c r="AL41" s="57"/>
      <c r="AM41" s="57"/>
    </row>
    <row r="42" spans="1:39" x14ac:dyDescent="0.15">
      <c r="A42" s="60" t="s">
        <v>91</v>
      </c>
      <c r="B42" s="23"/>
      <c r="C42" s="23"/>
      <c r="D42" s="23"/>
      <c r="E42" s="23">
        <f t="shared" ref="E42:AK42" si="16">E40+E41</f>
        <v>110.89999999999998</v>
      </c>
      <c r="F42" s="23">
        <f t="shared" si="16"/>
        <v>0</v>
      </c>
      <c r="G42" s="23">
        <f t="shared" si="16"/>
        <v>0</v>
      </c>
      <c r="H42" s="23">
        <f t="shared" si="16"/>
        <v>653</v>
      </c>
      <c r="I42" s="23">
        <f t="shared" si="16"/>
        <v>306.36999999999989</v>
      </c>
      <c r="J42" s="23">
        <f t="shared" si="16"/>
        <v>2481</v>
      </c>
      <c r="K42" s="23">
        <f t="shared" si="16"/>
        <v>399.16</v>
      </c>
      <c r="L42" s="23">
        <f t="shared" si="16"/>
        <v>0</v>
      </c>
      <c r="M42" s="23">
        <f t="shared" si="16"/>
        <v>17504</v>
      </c>
      <c r="N42" s="23">
        <f t="shared" si="16"/>
        <v>10731.809999999996</v>
      </c>
      <c r="O42" s="23">
        <f t="shared" si="16"/>
        <v>-8130</v>
      </c>
      <c r="P42" s="23">
        <f t="shared" si="16"/>
        <v>-254.8</v>
      </c>
      <c r="Q42" s="23">
        <f t="shared" si="16"/>
        <v>55.289999999999623</v>
      </c>
      <c r="R42" s="23">
        <f t="shared" si="16"/>
        <v>-0.52999999999999758</v>
      </c>
      <c r="S42" s="23">
        <f t="shared" si="16"/>
        <v>5244.95</v>
      </c>
      <c r="T42" s="23">
        <f t="shared" si="16"/>
        <v>1231.6999999999998</v>
      </c>
      <c r="U42" s="23">
        <f t="shared" si="16"/>
        <v>-198.3</v>
      </c>
      <c r="V42" s="23">
        <f t="shared" si="16"/>
        <v>161.83999999999992</v>
      </c>
      <c r="W42" s="23">
        <f t="shared" si="16"/>
        <v>581</v>
      </c>
      <c r="X42" s="23">
        <f t="shared" si="16"/>
        <v>1199</v>
      </c>
      <c r="Y42" s="23">
        <f t="shared" si="16"/>
        <v>872</v>
      </c>
      <c r="Z42" s="23">
        <f t="shared" si="16"/>
        <v>12990.83</v>
      </c>
      <c r="AA42" s="23">
        <f t="shared" si="16"/>
        <v>3372.9500000000003</v>
      </c>
      <c r="AB42" s="23">
        <f t="shared" si="16"/>
        <v>1</v>
      </c>
      <c r="AC42" s="23">
        <f t="shared" si="16"/>
        <v>-20</v>
      </c>
      <c r="AD42" s="23">
        <f t="shared" si="16"/>
        <v>0</v>
      </c>
      <c r="AE42" s="23">
        <f t="shared" si="16"/>
        <v>-20</v>
      </c>
      <c r="AF42" s="23">
        <f t="shared" si="16"/>
        <v>256.10999999999967</v>
      </c>
      <c r="AG42" s="23">
        <f t="shared" si="16"/>
        <v>7538.4800000000014</v>
      </c>
      <c r="AH42" s="23">
        <f t="shared" si="16"/>
        <v>-1130.2</v>
      </c>
      <c r="AI42" s="23">
        <f t="shared" si="16"/>
        <v>0</v>
      </c>
      <c r="AJ42" s="23">
        <f t="shared" si="16"/>
        <v>0</v>
      </c>
      <c r="AK42" s="23">
        <f t="shared" si="16"/>
        <v>55937.56</v>
      </c>
      <c r="AL42" s="5"/>
      <c r="AM42" s="5"/>
    </row>
    <row r="43" spans="1:39" x14ac:dyDescent="0.15">
      <c r="AJ43" s="58"/>
      <c r="AK43" s="55"/>
    </row>
    <row r="44" spans="1:39" x14ac:dyDescent="0.15">
      <c r="A44" s="3" t="s">
        <v>80</v>
      </c>
    </row>
    <row r="45" spans="1:39" x14ac:dyDescent="0.15">
      <c r="A45" s="47" t="s">
        <v>88</v>
      </c>
    </row>
    <row r="46" spans="1:39" x14ac:dyDescent="0.15">
      <c r="A46" s="47" t="s">
        <v>92</v>
      </c>
    </row>
  </sheetData>
  <mergeCells count="3">
    <mergeCell ref="A1:AJ1"/>
    <mergeCell ref="A3:AJ3"/>
    <mergeCell ref="A2:AJ2"/>
  </mergeCells>
  <pageMargins left="0.7" right="0.7" top="0.75" bottom="0.75" header="0.3" footer="0.3"/>
  <pageSetup paperSize="9" fitToWidth="0" fitToHeight="0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D66E0-8852-6F42-9805-A2BA30208F67}">
  <sheetPr>
    <tabColor rgb="FFFFC000"/>
  </sheetPr>
  <dimension ref="A1:M35"/>
  <sheetViews>
    <sheetView showGridLines="0" zoomScale="150" zoomScaleNormal="150" workbookViewId="0">
      <selection activeCell="H54" sqref="H54"/>
    </sheetView>
  </sheetViews>
  <sheetFormatPr baseColWidth="10" defaultColWidth="8.83203125" defaultRowHeight="13" x14ac:dyDescent="0.15"/>
  <cols>
    <col min="1" max="1" width="37" style="7" customWidth="1"/>
    <col min="2" max="2" width="7.83203125" style="7" customWidth="1"/>
    <col min="3" max="16384" width="8.83203125" style="7"/>
  </cols>
  <sheetData>
    <row r="1" spans="1:13" ht="25.5" customHeight="1" x14ac:dyDescent="0.15">
      <c r="A1" s="62" t="s">
        <v>0</v>
      </c>
      <c r="B1" s="62"/>
    </row>
    <row r="2" spans="1:13" ht="18" customHeight="1" x14ac:dyDescent="0.15">
      <c r="A2" s="64" t="s">
        <v>1</v>
      </c>
      <c r="B2" s="64"/>
    </row>
    <row r="3" spans="1:13" ht="18" customHeight="1" x14ac:dyDescent="0.15">
      <c r="A3" s="64" t="s">
        <v>96</v>
      </c>
      <c r="B3" s="64"/>
    </row>
    <row r="4" spans="1:13" ht="13.25" customHeight="1" x14ac:dyDescent="0.15"/>
    <row r="5" spans="1:13" ht="10.5" customHeight="1" x14ac:dyDescent="0.15">
      <c r="A5" s="73" t="s">
        <v>2</v>
      </c>
      <c r="B5" s="72" t="s">
        <v>6</v>
      </c>
      <c r="C5" s="72" t="s">
        <v>5</v>
      </c>
      <c r="D5" s="72" t="s">
        <v>4</v>
      </c>
      <c r="E5" s="72" t="s">
        <v>3</v>
      </c>
      <c r="F5" s="72" t="s">
        <v>65</v>
      </c>
      <c r="G5" s="72" t="s">
        <v>66</v>
      </c>
      <c r="H5" s="72" t="s">
        <v>83</v>
      </c>
      <c r="I5" s="72" t="s">
        <v>84</v>
      </c>
      <c r="J5" s="72" t="s">
        <v>85</v>
      </c>
      <c r="K5" s="72" t="s">
        <v>93</v>
      </c>
      <c r="L5" s="72" t="s">
        <v>94</v>
      </c>
      <c r="M5" s="72" t="s">
        <v>95</v>
      </c>
    </row>
    <row r="6" spans="1:13" ht="13.25" customHeight="1" x14ac:dyDescent="0.15"/>
    <row r="7" spans="1:13" ht="13" customHeight="1" x14ac:dyDescent="0.15">
      <c r="A7" s="74" t="s">
        <v>7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ht="10.5" customHeight="1" x14ac:dyDescent="0.15">
      <c r="A8" s="71" t="s">
        <v>8</v>
      </c>
      <c r="B8" s="10">
        <v>14036.15</v>
      </c>
      <c r="C8" s="10">
        <v>17856.669999999998</v>
      </c>
      <c r="D8" s="10">
        <v>9084.59</v>
      </c>
      <c r="E8" s="10">
        <v>13053.81</v>
      </c>
      <c r="F8" s="10">
        <v>2905.6</v>
      </c>
      <c r="G8" s="10">
        <v>4576.5200000000004</v>
      </c>
      <c r="H8" s="10">
        <v>13002.99</v>
      </c>
      <c r="I8" s="10">
        <v>3372</v>
      </c>
      <c r="J8" s="10">
        <v>12081.82</v>
      </c>
      <c r="K8" s="10">
        <v>10161.11</v>
      </c>
      <c r="L8" s="10">
        <v>7975.26</v>
      </c>
      <c r="M8" s="10">
        <v>5026.1099999999997</v>
      </c>
    </row>
    <row r="9" spans="1:13" ht="10.5" customHeight="1" x14ac:dyDescent="0.15">
      <c r="A9" s="71" t="s">
        <v>9</v>
      </c>
      <c r="B9" s="10">
        <v>0</v>
      </c>
      <c r="C9" s="10">
        <v>6073.97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</row>
    <row r="10" spans="1:13" ht="10.5" customHeight="1" x14ac:dyDescent="0.15">
      <c r="A10" s="70" t="s">
        <v>10</v>
      </c>
      <c r="B10" s="9">
        <f>SUM(B8:B9)</f>
        <v>14036.15</v>
      </c>
      <c r="C10" s="9">
        <f>SUM(C8:C9)</f>
        <v>23930.639999999999</v>
      </c>
      <c r="D10" s="9">
        <f>SUM(D8:D9)</f>
        <v>9084.59</v>
      </c>
      <c r="E10" s="9">
        <f>SUM(E8:E9)</f>
        <v>13053.81</v>
      </c>
      <c r="F10" s="9">
        <f>SUM(F8:F9)</f>
        <v>2905.6</v>
      </c>
      <c r="G10" s="9">
        <f>SUM(G8:G9)</f>
        <v>4576.5200000000004</v>
      </c>
      <c r="H10" s="9">
        <f>SUM(H8:H9)</f>
        <v>13002.99</v>
      </c>
      <c r="I10" s="9">
        <f>SUM(I8:I9)</f>
        <v>3372</v>
      </c>
      <c r="J10" s="9">
        <f>SUM(J8:J9)</f>
        <v>12081.82</v>
      </c>
      <c r="K10" s="9">
        <f>SUM(K8:K9)</f>
        <v>10161.11</v>
      </c>
      <c r="L10" s="9">
        <f>SUM(L8:L9)</f>
        <v>7975.26</v>
      </c>
      <c r="M10" s="9">
        <f>SUM(M8:M9)</f>
        <v>5026.1099999999997</v>
      </c>
    </row>
    <row r="11" spans="1:13" ht="13.25" customHeight="1" x14ac:dyDescent="0.15"/>
    <row r="12" spans="1:13" ht="10.5" customHeight="1" x14ac:dyDescent="0.15">
      <c r="A12" s="69" t="s">
        <v>11</v>
      </c>
      <c r="B12" s="8">
        <f>(B10 - 0)</f>
        <v>14036.15</v>
      </c>
      <c r="C12" s="8">
        <f>(C10 - 0)</f>
        <v>23930.639999999999</v>
      </c>
      <c r="D12" s="8">
        <f>(D10 - 0)</f>
        <v>9084.59</v>
      </c>
      <c r="E12" s="8">
        <f>(E10 - 0)</f>
        <v>13053.81</v>
      </c>
      <c r="F12" s="8">
        <f>(F10 - 0)</f>
        <v>2905.6</v>
      </c>
      <c r="G12" s="8">
        <f>(G10 - 0)</f>
        <v>4576.5200000000004</v>
      </c>
      <c r="H12" s="8">
        <f>(H10 - 0)</f>
        <v>13002.99</v>
      </c>
      <c r="I12" s="8">
        <f>(I10 - 0)</f>
        <v>3372</v>
      </c>
      <c r="J12" s="8">
        <f>(J10 - 0)</f>
        <v>12081.82</v>
      </c>
      <c r="K12" s="8">
        <f>(K10 - 0)</f>
        <v>10161.11</v>
      </c>
      <c r="L12" s="8">
        <f>(L10 - 0)</f>
        <v>7975.26</v>
      </c>
      <c r="M12" s="8">
        <f>(M10 - 0)</f>
        <v>5026.1099999999997</v>
      </c>
    </row>
    <row r="13" spans="1:13" ht="13.25" customHeight="1" x14ac:dyDescent="0.15"/>
    <row r="14" spans="1:13" ht="13" customHeight="1" x14ac:dyDescent="0.15">
      <c r="A14" s="74" t="s">
        <v>12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</row>
    <row r="15" spans="1:13" ht="10.5" customHeight="1" x14ac:dyDescent="0.15">
      <c r="A15" s="71" t="s">
        <v>82</v>
      </c>
      <c r="B15" s="10">
        <v>0</v>
      </c>
      <c r="C15" s="10">
        <v>0</v>
      </c>
      <c r="D15" s="10">
        <v>0</v>
      </c>
      <c r="E15" s="10">
        <v>0</v>
      </c>
      <c r="F15" s="10">
        <v>1440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1:13" ht="10.5" customHeight="1" x14ac:dyDescent="0.15">
      <c r="A16" s="71" t="s">
        <v>13</v>
      </c>
      <c r="B16" s="10">
        <v>8</v>
      </c>
      <c r="C16" s="10">
        <v>38</v>
      </c>
      <c r="D16" s="10">
        <v>8</v>
      </c>
      <c r="E16" s="10">
        <v>8</v>
      </c>
      <c r="F16" s="10">
        <v>8</v>
      </c>
      <c r="G16" s="10">
        <v>8</v>
      </c>
      <c r="H16" s="10">
        <v>8</v>
      </c>
      <c r="I16" s="10">
        <v>8</v>
      </c>
      <c r="J16" s="10">
        <v>8</v>
      </c>
      <c r="K16" s="10">
        <v>8</v>
      </c>
      <c r="L16" s="10">
        <v>8</v>
      </c>
      <c r="M16" s="10">
        <v>8</v>
      </c>
    </row>
    <row r="17" spans="1:13" ht="10.5" customHeight="1" x14ac:dyDescent="0.15">
      <c r="A17" s="71" t="s">
        <v>14</v>
      </c>
      <c r="B17" s="10">
        <v>0</v>
      </c>
      <c r="C17" s="10">
        <v>48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1:13" ht="10.5" customHeight="1" x14ac:dyDescent="0.15">
      <c r="A18" s="71" t="s">
        <v>64</v>
      </c>
      <c r="B18" s="10">
        <v>0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0.3</v>
      </c>
      <c r="K18" s="10">
        <v>0</v>
      </c>
      <c r="L18" s="10">
        <v>0</v>
      </c>
      <c r="M18" s="10">
        <v>0</v>
      </c>
    </row>
    <row r="19" spans="1:13" ht="10.5" customHeight="1" x14ac:dyDescent="0.15">
      <c r="A19" s="71" t="s">
        <v>15</v>
      </c>
      <c r="B19" s="10">
        <v>8.34</v>
      </c>
      <c r="C19" s="10">
        <v>19.41</v>
      </c>
      <c r="D19" s="10">
        <v>14.05</v>
      </c>
      <c r="E19" s="10">
        <v>13.62</v>
      </c>
      <c r="F19" s="10">
        <v>4.38</v>
      </c>
      <c r="G19" s="10">
        <v>5.2</v>
      </c>
      <c r="H19" s="10">
        <v>11.36</v>
      </c>
      <c r="I19" s="10">
        <v>3.76</v>
      </c>
      <c r="J19" s="10">
        <v>32.22</v>
      </c>
      <c r="K19" s="10">
        <v>17.510000000000002</v>
      </c>
      <c r="L19" s="10">
        <v>8.15</v>
      </c>
      <c r="M19" s="10">
        <v>14.24</v>
      </c>
    </row>
    <row r="20" spans="1:13" ht="10.5" customHeight="1" x14ac:dyDescent="0.15">
      <c r="A20" s="71" t="s">
        <v>86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876.01</v>
      </c>
      <c r="K20" s="10">
        <v>0</v>
      </c>
      <c r="L20" s="10">
        <v>0</v>
      </c>
      <c r="M20" s="10">
        <v>0</v>
      </c>
    </row>
    <row r="21" spans="1:13" ht="10.5" customHeight="1" x14ac:dyDescent="0.15">
      <c r="A21" s="71" t="s">
        <v>16</v>
      </c>
      <c r="B21" s="10">
        <v>0</v>
      </c>
      <c r="C21" s="10">
        <v>881.21</v>
      </c>
      <c r="D21" s="10">
        <v>0</v>
      </c>
      <c r="E21" s="10">
        <v>-714.42</v>
      </c>
      <c r="F21" s="10">
        <v>0</v>
      </c>
      <c r="G21" s="10">
        <v>0</v>
      </c>
      <c r="H21" s="10">
        <v>1251.08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ht="10.5" customHeight="1" x14ac:dyDescent="0.15">
      <c r="A22" s="71" t="s">
        <v>17</v>
      </c>
      <c r="B22" s="10">
        <v>2100.2399999999998</v>
      </c>
      <c r="C22" s="10">
        <v>3678.78</v>
      </c>
      <c r="D22" s="10">
        <v>25953.84</v>
      </c>
      <c r="E22" s="10">
        <v>14590</v>
      </c>
      <c r="F22" s="10">
        <v>3490</v>
      </c>
      <c r="G22" s="10">
        <v>6300</v>
      </c>
      <c r="H22" s="10">
        <v>3642.88</v>
      </c>
      <c r="I22" s="10">
        <v>10503.71</v>
      </c>
      <c r="J22" s="10">
        <v>9340.11</v>
      </c>
      <c r="K22" s="10">
        <v>10586.07</v>
      </c>
      <c r="L22" s="10">
        <v>1505.29</v>
      </c>
      <c r="M22" s="10">
        <v>9230.2099999999991</v>
      </c>
    </row>
    <row r="23" spans="1:13" ht="10.5" customHeight="1" x14ac:dyDescent="0.15">
      <c r="A23" s="71" t="s">
        <v>18</v>
      </c>
      <c r="B23" s="10">
        <v>250</v>
      </c>
      <c r="C23" s="10">
        <v>0</v>
      </c>
      <c r="D23" s="10">
        <v>500</v>
      </c>
      <c r="E23" s="10">
        <v>250</v>
      </c>
      <c r="F23" s="10">
        <v>250</v>
      </c>
      <c r="G23" s="10">
        <v>250</v>
      </c>
      <c r="H23" s="10">
        <v>250</v>
      </c>
      <c r="I23" s="10">
        <v>250</v>
      </c>
      <c r="J23" s="10">
        <v>250</v>
      </c>
      <c r="K23" s="10">
        <v>0</v>
      </c>
      <c r="L23" s="10">
        <v>0</v>
      </c>
      <c r="M23" s="10">
        <v>0</v>
      </c>
    </row>
    <row r="24" spans="1:13" ht="10.5" customHeight="1" x14ac:dyDescent="0.15">
      <c r="A24" s="71" t="s">
        <v>19</v>
      </c>
      <c r="B24" s="10">
        <v>24</v>
      </c>
      <c r="C24" s="10">
        <v>12</v>
      </c>
      <c r="D24" s="10">
        <v>12</v>
      </c>
      <c r="E24" s="10">
        <v>28.8</v>
      </c>
      <c r="F24" s="10">
        <v>28.8</v>
      </c>
      <c r="G24" s="10">
        <v>28.8</v>
      </c>
      <c r="H24" s="10">
        <v>31.2</v>
      </c>
      <c r="I24" s="10">
        <v>31.2</v>
      </c>
      <c r="J24" s="10">
        <v>31.2</v>
      </c>
      <c r="K24" s="10">
        <v>31.2</v>
      </c>
      <c r="L24" s="10">
        <v>127.08</v>
      </c>
      <c r="M24" s="10">
        <v>31.2</v>
      </c>
    </row>
    <row r="25" spans="1:13" ht="10.5" customHeight="1" x14ac:dyDescent="0.15">
      <c r="A25" s="71" t="s">
        <v>20</v>
      </c>
      <c r="B25" s="10">
        <v>0</v>
      </c>
      <c r="C25" s="10">
        <v>0</v>
      </c>
      <c r="D25" s="10">
        <v>1011.36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0.5" customHeight="1" x14ac:dyDescent="0.15">
      <c r="A26" s="71" t="s">
        <v>21</v>
      </c>
      <c r="B26" s="10">
        <v>0</v>
      </c>
      <c r="C26" s="10">
        <v>84.77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</row>
    <row r="27" spans="1:13" ht="10.5" customHeight="1" x14ac:dyDescent="0.15">
      <c r="A27" s="71" t="s">
        <v>22</v>
      </c>
      <c r="B27" s="10">
        <v>125</v>
      </c>
      <c r="C27" s="10">
        <v>0</v>
      </c>
      <c r="D27" s="10">
        <v>0</v>
      </c>
      <c r="E27" s="10">
        <v>125</v>
      </c>
      <c r="F27" s="10">
        <v>0</v>
      </c>
      <c r="G27" s="10">
        <v>0</v>
      </c>
      <c r="H27" s="10">
        <v>125</v>
      </c>
      <c r="I27" s="10">
        <v>0</v>
      </c>
      <c r="J27" s="10">
        <v>0</v>
      </c>
      <c r="K27" s="10">
        <v>125</v>
      </c>
      <c r="L27" s="10">
        <v>0</v>
      </c>
      <c r="M27" s="10">
        <v>0</v>
      </c>
    </row>
    <row r="28" spans="1:13" ht="10.5" customHeight="1" x14ac:dyDescent="0.15">
      <c r="A28" s="71" t="s">
        <v>23</v>
      </c>
      <c r="B28" s="10">
        <v>2.4</v>
      </c>
      <c r="C28" s="10">
        <v>2.4</v>
      </c>
      <c r="D28" s="10">
        <v>2.4</v>
      </c>
      <c r="E28" s="10">
        <v>2.4</v>
      </c>
      <c r="F28" s="10">
        <v>2.4</v>
      </c>
      <c r="G28" s="10">
        <v>2.4</v>
      </c>
      <c r="H28" s="10">
        <v>2.4</v>
      </c>
      <c r="I28" s="10">
        <v>2.4</v>
      </c>
      <c r="J28" s="10">
        <v>2.4</v>
      </c>
      <c r="K28" s="10">
        <v>2.4</v>
      </c>
      <c r="L28" s="10">
        <v>0</v>
      </c>
      <c r="M28" s="10">
        <v>0</v>
      </c>
    </row>
    <row r="29" spans="1:13" ht="10.5" customHeight="1" x14ac:dyDescent="0.15">
      <c r="A29" s="70" t="s">
        <v>24</v>
      </c>
      <c r="B29" s="9">
        <f>SUM(B15:B28)</f>
        <v>2517.98</v>
      </c>
      <c r="C29" s="9">
        <f>SUM(C15:C28)</f>
        <v>4764.5700000000006</v>
      </c>
      <c r="D29" s="9">
        <f>SUM(D15:D28)</f>
        <v>27501.65</v>
      </c>
      <c r="E29" s="9">
        <f>SUM(E15:E28)</f>
        <v>14303.4</v>
      </c>
      <c r="F29" s="9">
        <f>SUM(F15:F28)</f>
        <v>5223.58</v>
      </c>
      <c r="G29" s="9">
        <f>SUM(G15:G28)</f>
        <v>6594.4</v>
      </c>
      <c r="H29" s="9">
        <f>SUM(H15:H28)</f>
        <v>5321.9199999999992</v>
      </c>
      <c r="I29" s="9">
        <f>SUM(I15:I28)</f>
        <v>10799.07</v>
      </c>
      <c r="J29" s="9">
        <f>SUM(J15:J28)</f>
        <v>10540.240000000002</v>
      </c>
      <c r="K29" s="9">
        <f>SUM(K15:K28)</f>
        <v>10770.18</v>
      </c>
      <c r="L29" s="9">
        <f>SUM(L15:L28)</f>
        <v>1648.52</v>
      </c>
      <c r="M29" s="9">
        <f>SUM(M15:M28)</f>
        <v>9283.65</v>
      </c>
    </row>
    <row r="30" spans="1:13" ht="13.25" customHeight="1" x14ac:dyDescent="0.15"/>
    <row r="31" spans="1:13" ht="10.5" customHeight="1" x14ac:dyDescent="0.15">
      <c r="A31" s="69" t="s">
        <v>25</v>
      </c>
      <c r="B31" s="8">
        <f>((B12 + 0) - (0 + B29))</f>
        <v>11518.17</v>
      </c>
      <c r="C31" s="8">
        <f>((C12 + 0) - (0 + C29))</f>
        <v>19166.07</v>
      </c>
      <c r="D31" s="8">
        <f>((D12 + 0) - (0 + D29))</f>
        <v>-18417.060000000001</v>
      </c>
      <c r="E31" s="8">
        <f>((E12 + 0) - (0 + E29))</f>
        <v>-1249.5900000000001</v>
      </c>
      <c r="F31" s="8">
        <f>((F12 + 0) - (0 + F29))</f>
        <v>-2317.98</v>
      </c>
      <c r="G31" s="8">
        <f>((G12 + 0) - (0 + G29))</f>
        <v>-2017.8799999999992</v>
      </c>
      <c r="H31" s="8">
        <f>((H12 + 0) - (0 + H29))</f>
        <v>7681.0700000000006</v>
      </c>
      <c r="I31" s="8">
        <f>((I12 + 0) - (0 + I29))</f>
        <v>-7427.07</v>
      </c>
      <c r="J31" s="8">
        <f>((J12 + 0) - (0 + J29))</f>
        <v>1541.5799999999981</v>
      </c>
      <c r="K31" s="8">
        <f>((K12 + 0) - (0 + K29))</f>
        <v>-609.06999999999971</v>
      </c>
      <c r="L31" s="8">
        <f>((L12 + 0) - (0 + L29))</f>
        <v>6326.74</v>
      </c>
      <c r="M31" s="8">
        <f>((M12 + 0) - (0 + M29))</f>
        <v>-4257.54</v>
      </c>
    </row>
    <row r="32" spans="1:13" ht="13.25" customHeight="1" x14ac:dyDescent="0.15"/>
    <row r="33" spans="1:13" ht="10.5" customHeight="1" x14ac:dyDescent="0.15">
      <c r="A33" s="69" t="s">
        <v>26</v>
      </c>
      <c r="B33" s="8">
        <f>(B31 + 0)</f>
        <v>11518.17</v>
      </c>
      <c r="C33" s="8">
        <f>(C31 + 0)</f>
        <v>19166.07</v>
      </c>
      <c r="D33" s="8">
        <f>(D31 + 0)</f>
        <v>-18417.060000000001</v>
      </c>
      <c r="E33" s="8">
        <f>(E31 + 0)</f>
        <v>-1249.5900000000001</v>
      </c>
      <c r="F33" s="8">
        <f>(F31 + 0)</f>
        <v>-2317.98</v>
      </c>
      <c r="G33" s="8">
        <f>(G31 + 0)</f>
        <v>-2017.8799999999992</v>
      </c>
      <c r="H33" s="8">
        <f>(H31 + 0)</f>
        <v>7681.0700000000006</v>
      </c>
      <c r="I33" s="8">
        <f>(I31 + 0)</f>
        <v>-7427.07</v>
      </c>
      <c r="J33" s="8">
        <f>(J31 + 0)</f>
        <v>1541.5799999999981</v>
      </c>
      <c r="K33" s="8">
        <f>(K31 + 0)</f>
        <v>-609.06999999999971</v>
      </c>
      <c r="L33" s="8">
        <f>(L31 + 0)</f>
        <v>6326.74</v>
      </c>
      <c r="M33" s="8">
        <f>(M31 + 0)</f>
        <v>-4257.54</v>
      </c>
    </row>
    <row r="34" spans="1:13" ht="13.25" customHeight="1" x14ac:dyDescent="0.15"/>
    <row r="35" spans="1:13" ht="10.5" customHeight="1" x14ac:dyDescent="0.15">
      <c r="A35" s="69" t="s">
        <v>27</v>
      </c>
      <c r="B35" s="8">
        <f>(B33 - 0)</f>
        <v>11518.17</v>
      </c>
      <c r="C35" s="8">
        <f>(C33 - 0)</f>
        <v>19166.07</v>
      </c>
      <c r="D35" s="8">
        <f>(D33 - 0)</f>
        <v>-18417.060000000001</v>
      </c>
      <c r="E35" s="8">
        <f>(E33 - 0)</f>
        <v>-1249.5900000000001</v>
      </c>
      <c r="F35" s="8">
        <f>(F33 - 0)</f>
        <v>-2317.98</v>
      </c>
      <c r="G35" s="8">
        <f>(G33 - 0)</f>
        <v>-2017.8799999999992</v>
      </c>
      <c r="H35" s="8">
        <f>(H33 - 0)</f>
        <v>7681.0700000000006</v>
      </c>
      <c r="I35" s="8">
        <f>(I33 - 0)</f>
        <v>-7427.07</v>
      </c>
      <c r="J35" s="8">
        <f>(J33 - 0)</f>
        <v>1541.5799999999981</v>
      </c>
      <c r="K35" s="8">
        <f>(K33 - 0)</f>
        <v>-609.06999999999971</v>
      </c>
      <c r="L35" s="8">
        <f>(L33 - 0)</f>
        <v>6326.74</v>
      </c>
      <c r="M35" s="8">
        <f>(M33 - 0)</f>
        <v>-4257.54</v>
      </c>
    </row>
  </sheetData>
  <mergeCells count="3">
    <mergeCell ref="A2:B2"/>
    <mergeCell ref="A1:B1"/>
    <mergeCell ref="A3:B3"/>
  </mergeCells>
  <pageMargins left="0.7" right="0.7" top="0.75" bottom="0.75" header="0.3" footer="0.3"/>
  <pageSetup paperSize="9" fitToWidth="0" fitToHeight="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P&amp;L Projection 22 and 23</vt:lpstr>
      <vt:lpstr>All Funds Profit and Loss</vt:lpstr>
      <vt:lpstr>P&amp;L Monthly 1-4-21 to 31-3-22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Wareham</dc:creator>
  <cp:lastModifiedBy>Simon Wareham</cp:lastModifiedBy>
  <dcterms:created xsi:type="dcterms:W3CDTF">2021-08-30T13:48:23Z</dcterms:created>
  <dcterms:modified xsi:type="dcterms:W3CDTF">2022-04-25T17:30:21Z</dcterms:modified>
</cp:coreProperties>
</file>